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30" windowWidth="24915" windowHeight="11595"/>
  </bookViews>
  <sheets>
    <sheet name="Sheet1" sheetId="1" r:id="rId1"/>
    <sheet name="DPS" sheetId="2" r:id="rId2"/>
    <sheet name="TMD" sheetId="3" r:id="rId3"/>
    <sheet name="TPWD" sheetId="4" r:id="rId4"/>
    <sheet name="TDCJ" sheetId="5" r:id="rId5"/>
    <sheet name="TFC" sheetId="6" r:id="rId6"/>
    <sheet name="TxDOT" sheetId="7" r:id="rId7"/>
    <sheet name="TDCJ Supplemental" sheetId="8" r:id="rId8"/>
    <sheet name="TFC Supplemental" sheetId="9" r:id="rId9"/>
    <sheet name="TMD Supplemental" sheetId="10" r:id="rId10"/>
    <sheet name="DPS sup." sheetId="11" r:id="rId11"/>
  </sheets>
  <externalReferences>
    <externalReference r:id="rId12"/>
  </externalReferences>
  <calcPr calcId="145621"/>
</workbook>
</file>

<file path=xl/calcChain.xml><?xml version="1.0" encoding="utf-8"?>
<calcChain xmlns="http://schemas.openxmlformats.org/spreadsheetml/2006/main">
  <c r="V167" i="2" l="1"/>
  <c r="W166" i="2"/>
  <c r="F166" i="2"/>
  <c r="W165" i="2"/>
  <c r="W164" i="2"/>
  <c r="W163" i="2"/>
  <c r="W162" i="2"/>
  <c r="W161" i="2"/>
  <c r="W160" i="2"/>
  <c r="T159" i="2"/>
  <c r="O159" i="2"/>
  <c r="W159" i="2" s="1"/>
  <c r="N159" i="2"/>
  <c r="M159" i="2"/>
  <c r="L159" i="2"/>
  <c r="W158" i="2"/>
  <c r="W157" i="2"/>
  <c r="W156" i="2"/>
  <c r="W155" i="2"/>
  <c r="W154" i="2"/>
  <c r="W153" i="2"/>
  <c r="W152" i="2"/>
  <c r="W151" i="2"/>
  <c r="W150" i="2"/>
  <c r="W149" i="2"/>
  <c r="W148" i="2"/>
  <c r="W147" i="2"/>
  <c r="W146" i="2"/>
  <c r="W145" i="2"/>
  <c r="W144" i="2"/>
  <c r="W143" i="2"/>
  <c r="W142" i="2"/>
  <c r="W141" i="2"/>
  <c r="W140" i="2"/>
  <c r="W139" i="2"/>
  <c r="W138" i="2"/>
  <c r="W137" i="2"/>
  <c r="W136" i="2"/>
  <c r="W135" i="2"/>
  <c r="O134" i="2"/>
  <c r="W134" i="2" s="1"/>
  <c r="N134" i="2"/>
  <c r="M134" i="2"/>
  <c r="W133" i="2"/>
  <c r="T132" i="2"/>
  <c r="O132" i="2"/>
  <c r="W132" i="2" s="1"/>
  <c r="N132" i="2"/>
  <c r="M132" i="2"/>
  <c r="L132" i="2"/>
  <c r="W131" i="2"/>
  <c r="W130" i="2"/>
  <c r="W129" i="2"/>
  <c r="W128" i="2"/>
  <c r="W127" i="2"/>
  <c r="W126" i="2"/>
  <c r="W125" i="2"/>
  <c r="W124" i="2"/>
  <c r="W123" i="2"/>
  <c r="U122" i="2"/>
  <c r="S122" i="2"/>
  <c r="W122" i="2" s="1"/>
  <c r="W121" i="2"/>
  <c r="W120" i="2"/>
  <c r="W119" i="2"/>
  <c r="W118" i="2"/>
  <c r="W117" i="2"/>
  <c r="W116" i="2"/>
  <c r="A116" i="2"/>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T115" i="2"/>
  <c r="O115" i="2"/>
  <c r="W115" i="2" s="1"/>
  <c r="N115" i="2"/>
  <c r="N111" i="2" s="1"/>
  <c r="M115" i="2"/>
  <c r="L115" i="2"/>
  <c r="L111" i="2" s="1"/>
  <c r="K115" i="2"/>
  <c r="J115" i="2"/>
  <c r="J111" i="2" s="1"/>
  <c r="I115" i="2"/>
  <c r="U114" i="2"/>
  <c r="U167" i="2" s="1"/>
  <c r="S114" i="2"/>
  <c r="W114" i="2" s="1"/>
  <c r="T113" i="2"/>
  <c r="W113" i="2" s="1"/>
  <c r="O112" i="2"/>
  <c r="W112" i="2" s="1"/>
  <c r="N112" i="2"/>
  <c r="M112" i="2"/>
  <c r="L112" i="2"/>
  <c r="K112" i="2"/>
  <c r="J112" i="2"/>
  <c r="I112" i="2"/>
  <c r="O111" i="2"/>
  <c r="W111" i="2" s="1"/>
  <c r="M111" i="2"/>
  <c r="K111" i="2"/>
  <c r="I111" i="2"/>
  <c r="H111" i="2"/>
  <c r="G111" i="2"/>
  <c r="F111" i="2"/>
  <c r="W110" i="2"/>
  <c r="W109" i="2"/>
  <c r="W108" i="2"/>
  <c r="W107" i="2"/>
  <c r="W106" i="2"/>
  <c r="W105" i="2"/>
  <c r="W104" i="2"/>
  <c r="W103" i="2"/>
  <c r="W102" i="2"/>
  <c r="S101" i="2"/>
  <c r="S167" i="2" s="1"/>
  <c r="W100" i="2"/>
  <c r="W99" i="2"/>
  <c r="W98" i="2"/>
  <c r="W97" i="2"/>
  <c r="W96" i="2"/>
  <c r="W95" i="2"/>
  <c r="W94" i="2"/>
  <c r="W93" i="2"/>
  <c r="W92" i="2"/>
  <c r="W91" i="2"/>
  <c r="W90" i="2"/>
  <c r="W89" i="2"/>
  <c r="W88" i="2"/>
  <c r="W87" i="2"/>
  <c r="W86" i="2"/>
  <c r="W85" i="2"/>
  <c r="W84" i="2"/>
  <c r="W83" i="2"/>
  <c r="W82" i="2"/>
  <c r="W81" i="2"/>
  <c r="W80" i="2"/>
  <c r="W79" i="2"/>
  <c r="W78" i="2"/>
  <c r="W77" i="2"/>
  <c r="W76" i="2"/>
  <c r="W75" i="2"/>
  <c r="T74" i="2"/>
  <c r="W74" i="2" s="1"/>
  <c r="W73" i="2"/>
  <c r="W72" i="2"/>
  <c r="W71" i="2"/>
  <c r="W70" i="2"/>
  <c r="W69" i="2"/>
  <c r="W68" i="2"/>
  <c r="W67" i="2"/>
  <c r="W66" i="2"/>
  <c r="W65" i="2"/>
  <c r="W64" i="2"/>
  <c r="W63" i="2"/>
  <c r="W62" i="2"/>
  <c r="W61" i="2"/>
  <c r="W60" i="2"/>
  <c r="W59" i="2"/>
  <c r="W58" i="2"/>
  <c r="G58" i="2"/>
  <c r="F58" i="2"/>
  <c r="W57" i="2"/>
  <c r="W56" i="2"/>
  <c r="W55" i="2"/>
  <c r="W54" i="2"/>
  <c r="W53" i="2"/>
  <c r="W52" i="2"/>
  <c r="W51" i="2"/>
  <c r="W50" i="2"/>
  <c r="W49" i="2"/>
  <c r="W48" i="2"/>
  <c r="W47" i="2"/>
  <c r="W46" i="2"/>
  <c r="W45" i="2"/>
  <c r="W44" i="2"/>
  <c r="T44" i="2"/>
  <c r="W43" i="2"/>
  <c r="W42" i="2"/>
  <c r="W41" i="2"/>
  <c r="W40" i="2"/>
  <c r="W39" i="2"/>
  <c r="W38" i="2"/>
  <c r="W37" i="2"/>
  <c r="W36" i="2"/>
  <c r="W35" i="2"/>
  <c r="W34" i="2"/>
  <c r="W33" i="2"/>
  <c r="O32" i="2"/>
  <c r="W32" i="2" s="1"/>
  <c r="N32" i="2"/>
  <c r="M32" i="2"/>
  <c r="M167" i="2" s="1"/>
  <c r="L32" i="2"/>
  <c r="K32" i="2"/>
  <c r="K167" i="2" s="1"/>
  <c r="J32" i="2"/>
  <c r="I32" i="2"/>
  <c r="I167" i="2" s="1"/>
  <c r="H32" i="2"/>
  <c r="H167" i="2" s="1"/>
  <c r="G32" i="2"/>
  <c r="G167" i="2" s="1"/>
  <c r="F32" i="2"/>
  <c r="F167" i="2" s="1"/>
  <c r="W31" i="2"/>
  <c r="W30" i="2"/>
  <c r="W29" i="2"/>
  <c r="W28" i="2"/>
  <c r="W27" i="2"/>
  <c r="W26" i="2"/>
  <c r="W25" i="2"/>
  <c r="W24" i="2"/>
  <c r="W23" i="2"/>
  <c r="W22" i="2"/>
  <c r="W21" i="2"/>
  <c r="W20" i="2"/>
  <c r="W19" i="2"/>
  <c r="W18" i="2"/>
  <c r="W17" i="2"/>
  <c r="T16" i="2"/>
  <c r="W16" i="2" s="1"/>
  <c r="W15" i="2"/>
  <c r="W14" i="2"/>
  <c r="W13" i="2"/>
  <c r="W12" i="2"/>
  <c r="W11" i="2"/>
  <c r="W10" i="2"/>
  <c r="T10" i="2"/>
  <c r="T9" i="2"/>
  <c r="O9" i="2"/>
  <c r="O167" i="2" s="1"/>
  <c r="N9" i="2"/>
  <c r="W8" i="2"/>
  <c r="W7" i="2"/>
  <c r="W6" i="2"/>
  <c r="N167" i="2" l="1"/>
  <c r="J167" i="2"/>
  <c r="L167" i="2"/>
  <c r="W9" i="2"/>
  <c r="T167" i="2"/>
  <c r="W167" i="2" s="1"/>
  <c r="W101" i="2"/>
  <c r="L22" i="3" l="1"/>
  <c r="K22" i="3"/>
  <c r="G22" i="3"/>
  <c r="F22" i="3"/>
  <c r="C2" i="3"/>
  <c r="M2" i="3" s="1"/>
  <c r="G18" i="10" l="1"/>
  <c r="F18" i="10"/>
  <c r="E18" i="10"/>
  <c r="D18" i="10"/>
  <c r="B17" i="10"/>
  <c r="B16" i="10"/>
  <c r="B15" i="10"/>
  <c r="B14" i="10"/>
  <c r="C2" i="10" l="1"/>
  <c r="L33" i="6" l="1"/>
  <c r="K33" i="6"/>
  <c r="K36" i="6" s="1"/>
  <c r="G33" i="6"/>
  <c r="M33" i="6" s="1"/>
  <c r="F33" i="6"/>
  <c r="M31" i="6"/>
  <c r="M30" i="6"/>
  <c r="M29" i="6"/>
  <c r="M28" i="6"/>
  <c r="M27" i="6"/>
  <c r="M26" i="6"/>
  <c r="M25" i="6"/>
  <c r="M24" i="6"/>
  <c r="M23" i="6"/>
  <c r="M22" i="6"/>
  <c r="M21" i="6"/>
  <c r="M20" i="6"/>
  <c r="M19" i="6"/>
  <c r="M18" i="6"/>
  <c r="M17" i="6"/>
  <c r="M16" i="6"/>
  <c r="M15" i="6"/>
  <c r="M14" i="6"/>
  <c r="M13" i="6"/>
  <c r="M12" i="6"/>
  <c r="M11" i="6"/>
  <c r="M10" i="6"/>
  <c r="M9" i="6"/>
  <c r="M8" i="6"/>
  <c r="L178" i="5" l="1"/>
  <c r="K178" i="5"/>
  <c r="G178" i="5"/>
  <c r="F178" i="5"/>
  <c r="M177" i="5"/>
  <c r="M176" i="5"/>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41" i="5"/>
  <c r="M140" i="5"/>
  <c r="M139" i="5"/>
  <c r="M138" i="5"/>
  <c r="M137" i="5"/>
  <c r="M136" i="5"/>
  <c r="M135" i="5"/>
  <c r="M134" i="5"/>
  <c r="M133" i="5"/>
  <c r="M132" i="5"/>
  <c r="M131" i="5"/>
  <c r="M130" i="5"/>
  <c r="M129" i="5"/>
  <c r="M128" i="5"/>
  <c r="M127" i="5"/>
  <c r="M126" i="5"/>
  <c r="M125" i="5"/>
  <c r="M124" i="5"/>
  <c r="M123" i="5"/>
  <c r="M122" i="5"/>
  <c r="M121" i="5"/>
  <c r="M120" i="5"/>
  <c r="M119" i="5"/>
  <c r="M118" i="5"/>
  <c r="M117" i="5"/>
  <c r="M116" i="5"/>
  <c r="M115" i="5"/>
  <c r="M114" i="5"/>
  <c r="M113" i="5"/>
  <c r="M112" i="5"/>
  <c r="M111" i="5"/>
  <c r="M110" i="5"/>
  <c r="M109" i="5"/>
  <c r="M108" i="5"/>
  <c r="M107" i="5"/>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178" i="5" s="1"/>
  <c r="M2" i="5"/>
  <c r="T26" i="7" l="1"/>
  <c r="S24" i="7"/>
  <c r="N24" i="7"/>
  <c r="M24" i="7"/>
  <c r="T23" i="7"/>
  <c r="T22" i="7"/>
  <c r="T21" i="7"/>
  <c r="T20" i="7"/>
  <c r="T19" i="7"/>
  <c r="T18" i="7"/>
  <c r="T17" i="7"/>
  <c r="T16" i="7"/>
  <c r="T15" i="7"/>
  <c r="T14" i="7"/>
  <c r="T13" i="7"/>
  <c r="T12" i="7"/>
  <c r="T11" i="7"/>
  <c r="T10" i="7"/>
  <c r="T9" i="7"/>
  <c r="R8" i="7"/>
  <c r="R24" i="7" s="1"/>
  <c r="T8" i="7" l="1"/>
  <c r="T24" i="7" s="1"/>
  <c r="F10" i="1" l="1"/>
  <c r="D10" i="1"/>
  <c r="C10" i="1"/>
  <c r="B10" i="1"/>
  <c r="H9" i="1"/>
  <c r="I9" i="1" s="1"/>
  <c r="G9" i="1"/>
  <c r="E9" i="1"/>
  <c r="H8" i="1"/>
  <c r="I8" i="1" s="1"/>
  <c r="G8" i="1"/>
  <c r="E8" i="1"/>
  <c r="H7" i="1"/>
  <c r="I7" i="1" s="1"/>
  <c r="G7" i="1"/>
  <c r="E7" i="1"/>
  <c r="H6" i="1"/>
  <c r="I6" i="1" s="1"/>
  <c r="G6" i="1"/>
  <c r="E6" i="1"/>
  <c r="H5" i="1"/>
  <c r="I5" i="1" s="1"/>
  <c r="G5" i="1"/>
  <c r="E5" i="1"/>
  <c r="H4" i="1"/>
  <c r="I4" i="1" s="1"/>
  <c r="G4" i="1"/>
  <c r="E4" i="1"/>
  <c r="F64" i="1"/>
  <c r="D64" i="1"/>
  <c r="E64" i="1" s="1"/>
  <c r="C64" i="1"/>
  <c r="B64" i="1"/>
  <c r="H63" i="1"/>
  <c r="I63" i="1" s="1"/>
  <c r="G63" i="1"/>
  <c r="E63" i="1"/>
  <c r="H62" i="1"/>
  <c r="I62" i="1" s="1"/>
  <c r="G62" i="1"/>
  <c r="E62" i="1"/>
  <c r="I61" i="1"/>
  <c r="G61" i="1"/>
  <c r="E61" i="1"/>
  <c r="I60" i="1"/>
  <c r="G60" i="1"/>
  <c r="E60" i="1"/>
  <c r="I59" i="1"/>
  <c r="G59" i="1"/>
  <c r="E59" i="1"/>
  <c r="I58" i="1"/>
  <c r="G58" i="1"/>
  <c r="E58" i="1"/>
  <c r="F55" i="1"/>
  <c r="D55" i="1"/>
  <c r="C55" i="1"/>
  <c r="B55" i="1"/>
  <c r="H54" i="1"/>
  <c r="I54" i="1" s="1"/>
  <c r="G54" i="1"/>
  <c r="E54" i="1"/>
  <c r="H53" i="1"/>
  <c r="I53" i="1" s="1"/>
  <c r="G53" i="1"/>
  <c r="E53" i="1"/>
  <c r="H52" i="1"/>
  <c r="I52" i="1" s="1"/>
  <c r="G52" i="1"/>
  <c r="E52" i="1"/>
  <c r="H51" i="1"/>
  <c r="I51" i="1" s="1"/>
  <c r="G51" i="1"/>
  <c r="E51" i="1"/>
  <c r="H50" i="1"/>
  <c r="I50" i="1" s="1"/>
  <c r="G50" i="1"/>
  <c r="E50" i="1"/>
  <c r="H49" i="1"/>
  <c r="I49" i="1" s="1"/>
  <c r="G49" i="1"/>
  <c r="E49" i="1"/>
  <c r="F46" i="1"/>
  <c r="D46" i="1"/>
  <c r="C46" i="1"/>
  <c r="B46" i="1"/>
  <c r="H45" i="1"/>
  <c r="I45" i="1" s="1"/>
  <c r="G45" i="1"/>
  <c r="E45" i="1"/>
  <c r="H44" i="1"/>
  <c r="I44" i="1" s="1"/>
  <c r="G44" i="1"/>
  <c r="E44" i="1"/>
  <c r="H43" i="1"/>
  <c r="I43" i="1" s="1"/>
  <c r="G43" i="1"/>
  <c r="E43" i="1"/>
  <c r="H42" i="1"/>
  <c r="I42" i="1" s="1"/>
  <c r="G42" i="1"/>
  <c r="E42" i="1"/>
  <c r="H41" i="1"/>
  <c r="I41" i="1" s="1"/>
  <c r="G41" i="1"/>
  <c r="E41" i="1"/>
  <c r="H40" i="1"/>
  <c r="I40" i="1" s="1"/>
  <c r="G40" i="1"/>
  <c r="E40" i="1"/>
  <c r="F37" i="1"/>
  <c r="D37" i="1"/>
  <c r="C37" i="1"/>
  <c r="B37" i="1"/>
  <c r="H36" i="1"/>
  <c r="I36" i="1" s="1"/>
  <c r="G36" i="1"/>
  <c r="E36" i="1"/>
  <c r="H35" i="1"/>
  <c r="I35" i="1" s="1"/>
  <c r="G35" i="1"/>
  <c r="E35" i="1"/>
  <c r="H34" i="1"/>
  <c r="I34" i="1" s="1"/>
  <c r="G34" i="1"/>
  <c r="E34" i="1"/>
  <c r="H33" i="1"/>
  <c r="I33" i="1" s="1"/>
  <c r="G33" i="1"/>
  <c r="E33" i="1"/>
  <c r="H32" i="1"/>
  <c r="I32" i="1" s="1"/>
  <c r="G32" i="1"/>
  <c r="E32" i="1"/>
  <c r="H31" i="1"/>
  <c r="I31" i="1" s="1"/>
  <c r="G31" i="1"/>
  <c r="E31" i="1"/>
  <c r="F28" i="1"/>
  <c r="D28" i="1"/>
  <c r="E28" i="1" s="1"/>
  <c r="C28" i="1"/>
  <c r="B28" i="1"/>
  <c r="H27" i="1"/>
  <c r="I27" i="1" s="1"/>
  <c r="G27" i="1"/>
  <c r="E27" i="1"/>
  <c r="H26" i="1"/>
  <c r="I26" i="1" s="1"/>
  <c r="G26" i="1"/>
  <c r="E26" i="1"/>
  <c r="H25" i="1"/>
  <c r="I25" i="1" s="1"/>
  <c r="G25" i="1"/>
  <c r="E25" i="1"/>
  <c r="H24" i="1"/>
  <c r="I24" i="1" s="1"/>
  <c r="G24" i="1"/>
  <c r="E24" i="1"/>
  <c r="I23" i="1"/>
  <c r="G23" i="1"/>
  <c r="E23" i="1"/>
  <c r="I22" i="1"/>
  <c r="H22" i="1"/>
  <c r="G22" i="1"/>
  <c r="E22" i="1"/>
  <c r="F19" i="1"/>
  <c r="D19" i="1"/>
  <c r="C19" i="1"/>
  <c r="B19" i="1"/>
  <c r="I18" i="1"/>
  <c r="H18" i="1"/>
  <c r="G18" i="1"/>
  <c r="E18" i="1"/>
  <c r="I17" i="1"/>
  <c r="H17" i="1"/>
  <c r="G17" i="1"/>
  <c r="E17" i="1"/>
  <c r="I16" i="1"/>
  <c r="H16" i="1"/>
  <c r="G16" i="1"/>
  <c r="E16" i="1"/>
  <c r="I15" i="1"/>
  <c r="H15" i="1"/>
  <c r="G15" i="1"/>
  <c r="E15" i="1"/>
  <c r="I14" i="1"/>
  <c r="H14" i="1"/>
  <c r="G14" i="1"/>
  <c r="E14" i="1"/>
  <c r="H13" i="1"/>
  <c r="H19" i="1" s="1"/>
  <c r="I19" i="1" s="1"/>
  <c r="G13" i="1"/>
  <c r="E13" i="1"/>
  <c r="G19" i="1" l="1"/>
  <c r="E10" i="1"/>
  <c r="G10" i="1"/>
  <c r="I13" i="1"/>
  <c r="E37" i="1"/>
  <c r="E46" i="1"/>
  <c r="E55" i="1"/>
  <c r="H10" i="1"/>
  <c r="I10" i="1" s="1"/>
  <c r="G28" i="1"/>
  <c r="G37" i="1"/>
  <c r="G46" i="1"/>
  <c r="G55" i="1"/>
  <c r="G64" i="1"/>
  <c r="E19" i="1"/>
  <c r="H28" i="1"/>
  <c r="I28" i="1" s="1"/>
  <c r="H37" i="1"/>
  <c r="I37" i="1" s="1"/>
  <c r="H46" i="1"/>
  <c r="I46" i="1" s="1"/>
  <c r="H55" i="1"/>
  <c r="I55" i="1" s="1"/>
  <c r="H64" i="1"/>
  <c r="I64" i="1" s="1"/>
</calcChain>
</file>

<file path=xl/comments1.xml><?xml version="1.0" encoding="utf-8"?>
<comments xmlns="http://schemas.openxmlformats.org/spreadsheetml/2006/main">
  <authors>
    <author>tw08469</author>
    <author>Duecker, Lisa</author>
  </authors>
  <commentList>
    <comment ref="N8" authorId="0">
      <text>
        <r>
          <rPr>
            <b/>
            <sz val="9"/>
            <color indexed="81"/>
            <rFont val="Tahoma"/>
            <family val="2"/>
          </rPr>
          <t>tw08469:</t>
        </r>
        <r>
          <rPr>
            <sz val="9"/>
            <color indexed="81"/>
            <rFont val="Tahoma"/>
            <family val="2"/>
          </rPr>
          <t xml:space="preserve">
Deducted $375K from Contingency
</t>
        </r>
      </text>
    </comment>
    <comment ref="O8" authorId="0">
      <text>
        <r>
          <rPr>
            <b/>
            <sz val="9"/>
            <color indexed="81"/>
            <rFont val="Tahoma"/>
            <family val="2"/>
          </rPr>
          <t>tw08469:</t>
        </r>
        <r>
          <rPr>
            <sz val="9"/>
            <color indexed="81"/>
            <rFont val="Tahoma"/>
            <family val="2"/>
          </rPr>
          <t xml:space="preserve">
Deducted $375K from Contingency
</t>
        </r>
      </text>
    </comment>
    <comment ref="N9" authorId="0">
      <text>
        <r>
          <rPr>
            <b/>
            <sz val="9"/>
            <color indexed="81"/>
            <rFont val="Tahoma"/>
            <family val="2"/>
          </rPr>
          <t>tw08469:</t>
        </r>
        <r>
          <rPr>
            <sz val="9"/>
            <color indexed="81"/>
            <rFont val="Tahoma"/>
            <family val="2"/>
          </rPr>
          <t xml:space="preserve">
Deducted $137356 from cont
</t>
        </r>
      </text>
    </comment>
    <comment ref="O9" authorId="0">
      <text>
        <r>
          <rPr>
            <b/>
            <sz val="9"/>
            <color indexed="81"/>
            <rFont val="Tahoma"/>
            <family val="2"/>
          </rPr>
          <t>tw08469:</t>
        </r>
        <r>
          <rPr>
            <sz val="9"/>
            <color indexed="81"/>
            <rFont val="Tahoma"/>
            <family val="2"/>
          </rPr>
          <t xml:space="preserve">
Deducted $137356 from cont.
</t>
        </r>
      </text>
    </comment>
    <comment ref="L16" authorId="1">
      <text>
        <r>
          <rPr>
            <b/>
            <sz val="9"/>
            <color indexed="81"/>
            <rFont val="Tahoma"/>
            <family val="2"/>
          </rPr>
          <t xml:space="preserve">Duecker, Lisa:
Added $19,656 to contingency to reconcile back to $17,778,887
</t>
        </r>
      </text>
    </comment>
    <comment ref="M16" authorId="1">
      <text>
        <r>
          <rPr>
            <b/>
            <sz val="9"/>
            <color indexed="81"/>
            <rFont val="Tahoma"/>
            <family val="2"/>
          </rPr>
          <t xml:space="preserve">Duecker, Lisa:
Added $19,656 to contingency to reconcile back to $17,778,887
</t>
        </r>
      </text>
    </comment>
    <comment ref="N16" authorId="1">
      <text>
        <r>
          <rPr>
            <b/>
            <sz val="9"/>
            <color indexed="81"/>
            <rFont val="Tahoma"/>
            <family val="2"/>
          </rPr>
          <t xml:space="preserve">Duecker, Lisa:
Added $17842.50
 to contingency to reconcile back to $17,778,887
</t>
        </r>
      </text>
    </comment>
    <comment ref="O16" authorId="1">
      <text>
        <r>
          <rPr>
            <b/>
            <sz val="9"/>
            <color indexed="81"/>
            <rFont val="Tahoma"/>
            <family val="2"/>
          </rPr>
          <t xml:space="preserve">Duecker, Lisa:
Added $17842.50
 to contingency to reconcile back to $17,778,887
</t>
        </r>
      </text>
    </comment>
    <comment ref="N24" authorId="0">
      <text>
        <r>
          <rPr>
            <b/>
            <sz val="9"/>
            <color indexed="81"/>
            <rFont val="Tahoma"/>
            <family val="2"/>
          </rPr>
          <t>tw08469:</t>
        </r>
        <r>
          <rPr>
            <sz val="9"/>
            <color indexed="81"/>
            <rFont val="Tahoma"/>
            <family val="2"/>
          </rPr>
          <t xml:space="preserve">
Added $120K to Contingency </t>
        </r>
      </text>
    </comment>
    <comment ref="O24" authorId="0">
      <text>
        <r>
          <rPr>
            <b/>
            <sz val="9"/>
            <color indexed="81"/>
            <rFont val="Tahoma"/>
            <family val="2"/>
          </rPr>
          <t>tw08469:</t>
        </r>
        <r>
          <rPr>
            <sz val="9"/>
            <color indexed="81"/>
            <rFont val="Tahoma"/>
            <family val="2"/>
          </rPr>
          <t xml:space="preserve">
Added $120K to Contingency </t>
        </r>
      </text>
    </comment>
    <comment ref="T54" authorId="1">
      <text>
        <r>
          <rPr>
            <b/>
            <sz val="9"/>
            <color indexed="81"/>
            <rFont val="Tahoma"/>
            <family val="2"/>
          </rPr>
          <t>Duecker, Lisa:</t>
        </r>
        <r>
          <rPr>
            <sz val="9"/>
            <color indexed="81"/>
            <rFont val="Tahoma"/>
            <family val="2"/>
          </rPr>
          <t xml:space="preserve">
Went to 62753
</t>
        </r>
      </text>
    </comment>
    <comment ref="V54" authorId="1">
      <text>
        <r>
          <rPr>
            <b/>
            <sz val="9"/>
            <color indexed="81"/>
            <rFont val="Tahoma"/>
            <family val="2"/>
          </rPr>
          <t>Duecker, Lisa:</t>
        </r>
        <r>
          <rPr>
            <sz val="9"/>
            <color indexed="81"/>
            <rFont val="Tahoma"/>
            <family val="2"/>
          </rPr>
          <t xml:space="preserve">
Went to 62753
</t>
        </r>
      </text>
    </comment>
    <comment ref="Z54" authorId="1">
      <text>
        <r>
          <rPr>
            <b/>
            <sz val="9"/>
            <color indexed="81"/>
            <rFont val="Tahoma"/>
            <family val="2"/>
          </rPr>
          <t>Duecker, Lisa:</t>
        </r>
        <r>
          <rPr>
            <sz val="9"/>
            <color indexed="81"/>
            <rFont val="Tahoma"/>
            <family val="2"/>
          </rPr>
          <t xml:space="preserve">
Went to 62753
</t>
        </r>
      </text>
    </comment>
    <comment ref="S55" authorId="1">
      <text>
        <r>
          <rPr>
            <b/>
            <sz val="9"/>
            <color indexed="81"/>
            <rFont val="Tahoma"/>
            <family val="2"/>
          </rPr>
          <t>Duecker, Lisa:</t>
        </r>
        <r>
          <rPr>
            <sz val="9"/>
            <color indexed="81"/>
            <rFont val="Tahoma"/>
            <family val="2"/>
          </rPr>
          <t xml:space="preserve">
Issued in E-pro PO18901, $9,500 not in usas</t>
        </r>
      </text>
    </comment>
    <comment ref="U55" authorId="1">
      <text>
        <r>
          <rPr>
            <b/>
            <sz val="9"/>
            <color indexed="81"/>
            <rFont val="Tahoma"/>
            <family val="2"/>
          </rPr>
          <t>Duecker, Lisa:</t>
        </r>
        <r>
          <rPr>
            <sz val="9"/>
            <color indexed="81"/>
            <rFont val="Tahoma"/>
            <family val="2"/>
          </rPr>
          <t xml:space="preserve">
Issued in E-pro PO18901, $9,500 not in usas</t>
        </r>
      </text>
    </comment>
    <comment ref="Y55" authorId="1">
      <text>
        <r>
          <rPr>
            <b/>
            <sz val="9"/>
            <color indexed="81"/>
            <rFont val="Tahoma"/>
            <family val="2"/>
          </rPr>
          <t>Duecker, Lisa:</t>
        </r>
        <r>
          <rPr>
            <sz val="9"/>
            <color indexed="81"/>
            <rFont val="Tahoma"/>
            <family val="2"/>
          </rPr>
          <t xml:space="preserve">
Issued in E-pro PO18901, $9,500 not in usas</t>
        </r>
      </text>
    </comment>
    <comment ref="T142" authorId="0">
      <text>
        <r>
          <rPr>
            <b/>
            <sz val="9"/>
            <color indexed="81"/>
            <rFont val="Tahoma"/>
            <family val="2"/>
          </rPr>
          <t>tw08469:</t>
        </r>
        <r>
          <rPr>
            <sz val="9"/>
            <color indexed="81"/>
            <rFont val="Tahoma"/>
            <family val="2"/>
          </rPr>
          <t xml:space="preserve">
9/15/17 Lisa  showed $12,812.59 enc and $14,324.58 Exp
</t>
        </r>
      </text>
    </comment>
    <comment ref="V142" authorId="0">
      <text>
        <r>
          <rPr>
            <b/>
            <sz val="9"/>
            <color indexed="81"/>
            <rFont val="Tahoma"/>
            <family val="2"/>
          </rPr>
          <t>tw08469:</t>
        </r>
        <r>
          <rPr>
            <sz val="9"/>
            <color indexed="81"/>
            <rFont val="Tahoma"/>
            <family val="2"/>
          </rPr>
          <t xml:space="preserve">
9/15/17 Lisa  showed $12,812.59 enc and $14,324.58 Exp
</t>
        </r>
      </text>
    </comment>
    <comment ref="Z142" authorId="0">
      <text>
        <r>
          <rPr>
            <b/>
            <sz val="9"/>
            <color indexed="81"/>
            <rFont val="Tahoma"/>
            <family val="2"/>
          </rPr>
          <t>tw08469:</t>
        </r>
        <r>
          <rPr>
            <sz val="9"/>
            <color indexed="81"/>
            <rFont val="Tahoma"/>
            <family val="2"/>
          </rPr>
          <t xml:space="preserve">
9/15/17 Lisa  showed $12,812.59 enc and $14,324.58 Exp
</t>
        </r>
      </text>
    </comment>
  </commentList>
</comments>
</file>

<file path=xl/comments2.xml><?xml version="1.0" encoding="utf-8"?>
<comments xmlns="http://schemas.openxmlformats.org/spreadsheetml/2006/main">
  <authors>
    <author>Diana Miller</author>
  </authors>
  <commentList>
    <comment ref="A7" authorId="0">
      <text>
        <r>
          <rPr>
            <b/>
            <sz val="9"/>
            <color indexed="81"/>
            <rFont val="Tahoma"/>
            <family val="2"/>
          </rPr>
          <t>Diana Miller:</t>
        </r>
        <r>
          <rPr>
            <sz val="9"/>
            <color indexed="81"/>
            <rFont val="Tahoma"/>
            <family val="2"/>
          </rPr>
          <t xml:space="preserve">
Projects in Priority Order based on TxDOT 10Year Master Plan
</t>
        </r>
      </text>
    </comment>
    <comment ref="C7" authorId="0">
      <text>
        <r>
          <rPr>
            <b/>
            <sz val="9"/>
            <color indexed="81"/>
            <rFont val="Tahoma"/>
            <family val="2"/>
          </rPr>
          <t>Diana Miller:</t>
        </r>
        <r>
          <rPr>
            <sz val="9"/>
            <color indexed="81"/>
            <rFont val="Tahoma"/>
            <family val="2"/>
          </rPr>
          <t xml:space="preserve">
Now Ordering based on Start Sheet Dates</t>
        </r>
      </text>
    </comment>
  </commentList>
</comments>
</file>

<file path=xl/sharedStrings.xml><?xml version="1.0" encoding="utf-8"?>
<sst xmlns="http://schemas.openxmlformats.org/spreadsheetml/2006/main" count="2751" uniqueCount="1481">
  <si>
    <t>Original Estimated Project Budget</t>
  </si>
  <si>
    <t>Current Estimated Project Budget</t>
  </si>
  <si>
    <t>FY 2016-17 Encumbered</t>
  </si>
  <si>
    <t>Percent Encumbered</t>
  </si>
  <si>
    <t>FY 2016-17 Expended</t>
  </si>
  <si>
    <t>Percent Expended</t>
  </si>
  <si>
    <t>Remaining Project Balance</t>
  </si>
  <si>
    <t>Percent Remaining</t>
  </si>
  <si>
    <t>September 2017 QUARTERLY REPORT</t>
  </si>
  <si>
    <t>DPS 9/17</t>
  </si>
  <si>
    <t>TMD 9/17</t>
  </si>
  <si>
    <t>TPWD 9/17</t>
  </si>
  <si>
    <t>TDCJ 9/17</t>
  </si>
  <si>
    <t>TFC 9/17</t>
  </si>
  <si>
    <t>TXDOT 9/17</t>
  </si>
  <si>
    <t>Totals</t>
  </si>
  <si>
    <t>JUNE 2017 QUARTERLY REPORT</t>
  </si>
  <si>
    <t>DPS 6/17</t>
  </si>
  <si>
    <t>TMD 6/17</t>
  </si>
  <si>
    <t>TPWD 6/17</t>
  </si>
  <si>
    <t>TDCJ 6/17</t>
  </si>
  <si>
    <t>TFC 6/17</t>
  </si>
  <si>
    <t>TXDOT 6/17</t>
  </si>
  <si>
    <t>MARCH 2017 QUARTERLY REPORT</t>
  </si>
  <si>
    <t>DPS 3/17</t>
  </si>
  <si>
    <t>TMD 3/17</t>
  </si>
  <si>
    <t>TPWD 3/17</t>
  </si>
  <si>
    <t>TDCJ 3/17</t>
  </si>
  <si>
    <t>TFC 3/17</t>
  </si>
  <si>
    <t>TXDOT 3/17</t>
  </si>
  <si>
    <t>DECEMBER 2016 QUARTERLY REPORT</t>
  </si>
  <si>
    <t>DPS 12/16</t>
  </si>
  <si>
    <t>TMD 12/16</t>
  </si>
  <si>
    <t>TPWD 12/16</t>
  </si>
  <si>
    <t>TDCJ 12/16</t>
  </si>
  <si>
    <t>TFC 12/16</t>
  </si>
  <si>
    <t>TXDOT 12/16</t>
  </si>
  <si>
    <t>SEPTEMBER, 2016 QUARTERLY REPORT</t>
  </si>
  <si>
    <t>DPS 9/16</t>
  </si>
  <si>
    <t>TMD 9/16</t>
  </si>
  <si>
    <t>TPWD 9/16</t>
  </si>
  <si>
    <t>TDCJ 9/16</t>
  </si>
  <si>
    <t>TFC 9/16</t>
  </si>
  <si>
    <t>TXDOT 9/16</t>
  </si>
  <si>
    <t>JUNE, 2016 QUARTERLY REPORT</t>
  </si>
  <si>
    <t>DPS 6/16</t>
  </si>
  <si>
    <t>TMD 6/16</t>
  </si>
  <si>
    <t>TPWD 6/16</t>
  </si>
  <si>
    <t>TDCJ 6/16</t>
  </si>
  <si>
    <t>TFC 6/16</t>
  </si>
  <si>
    <t>TXDOT 6/16</t>
  </si>
  <si>
    <t>MARCH, 2016 QUARTERLY REPORT</t>
  </si>
  <si>
    <t>DPS 3/16</t>
  </si>
  <si>
    <t>TMD 3/16</t>
  </si>
  <si>
    <t>TPWD 3/16</t>
  </si>
  <si>
    <t>TDCJ 3/16</t>
  </si>
  <si>
    <t>TFC 3/16</t>
  </si>
  <si>
    <t>TXDOT 3/16</t>
  </si>
  <si>
    <t>DECEMBER, 2015 QUARTERLY REPORT</t>
  </si>
  <si>
    <t>DPS 12/15</t>
  </si>
  <si>
    <t>TMD 12/15</t>
  </si>
  <si>
    <t>TPWD 12/15</t>
  </si>
  <si>
    <t>TDCJ 12/15</t>
  </si>
  <si>
    <t>TFC 12/15</t>
  </si>
  <si>
    <t>TxDOT 12/15</t>
  </si>
  <si>
    <t>-</t>
  </si>
  <si>
    <t>.</t>
  </si>
  <si>
    <t>December 2017 QUARTERLY REPORT</t>
  </si>
  <si>
    <t>DPS 12/17</t>
  </si>
  <si>
    <t>TMD 12/17</t>
  </si>
  <si>
    <t>TPWD 12/17</t>
  </si>
  <si>
    <t>TDCJ 12/17</t>
  </si>
  <si>
    <t>TFC 12/17</t>
  </si>
  <si>
    <t>TXDOT 12/17</t>
  </si>
  <si>
    <t>2668</t>
  </si>
  <si>
    <t>Texas Department of Transportation #601</t>
  </si>
  <si>
    <t>AY18/19 RADIO TOWER PROJECTS PLANNED</t>
  </si>
  <si>
    <t>Version:  Final</t>
  </si>
  <si>
    <t>Date:</t>
  </si>
  <si>
    <t>Priority Audit Trail</t>
  </si>
  <si>
    <t>Prepared by:</t>
  </si>
  <si>
    <t>Diana Miller, Facilities Business Operations Manager - Support Services Division</t>
  </si>
  <si>
    <t>Agency ID</t>
  </si>
  <si>
    <t>Project Name &amp; Location</t>
  </si>
  <si>
    <t>Project Description</t>
  </si>
  <si>
    <t>Source of Funding
(MOF)</t>
  </si>
  <si>
    <t xml:space="preserve">Original Estimated 
Project Budget </t>
  </si>
  <si>
    <t xml:space="preserve">Current Estimated Project Budget
(for Q1 AY18) </t>
  </si>
  <si>
    <t>Estimated
Substantial Completion Date</t>
  </si>
  <si>
    <t>% Design
Completion</t>
  </si>
  <si>
    <t>% Construction
Completion</t>
  </si>
  <si>
    <t>FY 2018-19 Encumbered</t>
  </si>
  <si>
    <t>FY 2018-19 Expended</t>
  </si>
  <si>
    <t>Comment</t>
  </si>
  <si>
    <t>FY18 Q1 JOC Priority</t>
  </si>
  <si>
    <t>FY18 Q2 JOC Priority</t>
  </si>
  <si>
    <t>FY18 Q3 JOC Priority</t>
  </si>
  <si>
    <t>FY18 Q4 JOC
Priority</t>
  </si>
  <si>
    <t>FY19 Q5 JOC Priority</t>
  </si>
  <si>
    <t>FY19 Q6 JOC Priority</t>
  </si>
  <si>
    <t>FY19 Q7 JOC Priority</t>
  </si>
  <si>
    <t>FY19 Q8 JOC Priority</t>
  </si>
  <si>
    <t>ERT 1</t>
  </si>
  <si>
    <t>Radio Tower Replacement of 400 - Beaumont</t>
  </si>
  <si>
    <t>New Construction</t>
  </si>
  <si>
    <t>Highway Trans. Fund 6</t>
  </si>
  <si>
    <t>03470418613</t>
  </si>
  <si>
    <t>Radio Tower Replacement of 175' - Wichita Falls</t>
  </si>
  <si>
    <t>03470418614</t>
  </si>
  <si>
    <t>25470418612</t>
  </si>
  <si>
    <t>Radio Tower Replacement of 175' - Childress</t>
  </si>
  <si>
    <t>Radio Tower Replacement of 350' - Austin</t>
  </si>
  <si>
    <t>Radio Tower Replacement of 300' - Pharr</t>
  </si>
  <si>
    <t>23470418605</t>
  </si>
  <si>
    <t>Radio Tower Replacement of 175' - Brownwood</t>
  </si>
  <si>
    <t>19470418610</t>
  </si>
  <si>
    <t>Radio Tower Replacement of 175' - Atlanta</t>
  </si>
  <si>
    <t>04470418615</t>
  </si>
  <si>
    <t>Radio Tower Replacement of 175' - Amarillo</t>
  </si>
  <si>
    <t>19470418611</t>
  </si>
  <si>
    <t>04470418609</t>
  </si>
  <si>
    <t>Radio Tower Replacement of 350' - Amarillo</t>
  </si>
  <si>
    <t>Radio Tower Replacement of 300' - Bryan</t>
  </si>
  <si>
    <t>07470418608</t>
  </si>
  <si>
    <t>Radio Tower Replacement of 300' - San Angelo</t>
  </si>
  <si>
    <t>U2</t>
  </si>
  <si>
    <t>Unanticipated Emergency Tower Replacement</t>
  </si>
  <si>
    <t>TBD</t>
  </si>
  <si>
    <t>1NC</t>
  </si>
  <si>
    <t>38470418001</t>
  </si>
  <si>
    <t>AHQ Consolidation Design</t>
  </si>
  <si>
    <t>Agency:</t>
  </si>
  <si>
    <t>Texas Department of Criminal Justice - 696</t>
  </si>
  <si>
    <t>Jerry McGinty, Chief Financial Officer</t>
  </si>
  <si>
    <t>Project
Priority</t>
  </si>
  <si>
    <t xml:space="preserve">Current Estimated Project Budget
(for 1st Qtr.) </t>
  </si>
  <si>
    <t>% Const.
Completion</t>
  </si>
  <si>
    <t>Supp.
Notes</t>
  </si>
  <si>
    <t>04215005</t>
  </si>
  <si>
    <t>Hughes Unit, Gatesville</t>
  </si>
  <si>
    <t>Facility Repair:  Replace HVAC Unit - Support Operations</t>
  </si>
  <si>
    <t>Deferred Maintenance 
Account No. 5166</t>
  </si>
  <si>
    <t>N/A</t>
  </si>
  <si>
    <t>Yes</t>
  </si>
  <si>
    <t>09915001</t>
  </si>
  <si>
    <t>Hutchins Unit, Dallas</t>
  </si>
  <si>
    <t>Facility Repair:  Refurbish Air Handler - Support Operations</t>
  </si>
  <si>
    <t>05014007</t>
  </si>
  <si>
    <t>Roach Unit, Childress</t>
  </si>
  <si>
    <t>Roofing:  Repair Roof - ISF</t>
  </si>
  <si>
    <t>00512006</t>
  </si>
  <si>
    <t>Clemens Unit, Brazoria</t>
  </si>
  <si>
    <t>Facility Repair:  Resurface Floor - Main Building Kitchen</t>
  </si>
  <si>
    <t>10510005</t>
  </si>
  <si>
    <t>Murray Unit, Gatesville</t>
  </si>
  <si>
    <t>Facility Repair:  Install Handicap Accessible Shower - Offender Dorms</t>
  </si>
  <si>
    <t xml:space="preserve"> </t>
  </si>
  <si>
    <t>01015016</t>
  </si>
  <si>
    <t>Ellis Unit, Huntsville</t>
  </si>
  <si>
    <t>Safety:  Replace Generator - Boiler Room</t>
  </si>
  <si>
    <t>06913002</t>
  </si>
  <si>
    <t>Allred Unit, Iowa Park</t>
  </si>
  <si>
    <t>Roofing:  Resurface Roof - Multiple Buildings</t>
  </si>
  <si>
    <t>10815003</t>
  </si>
  <si>
    <t>Sanchez Unit, El Paso</t>
  </si>
  <si>
    <t>Infrastructure:  Refurbish Lift Station - Front Administration Building</t>
  </si>
  <si>
    <t>08212003</t>
  </si>
  <si>
    <t>Havins Unit, Brownwood</t>
  </si>
  <si>
    <t>Facility Repair:  Install Fiberglass Wall Panels - Multiple Buildings</t>
  </si>
  <si>
    <t>06715022</t>
  </si>
  <si>
    <t>Telford Unit, New Boston</t>
  </si>
  <si>
    <t>Facility Repair:  Replace HVAC Unit - Infirmary</t>
  </si>
  <si>
    <t>03615005</t>
  </si>
  <si>
    <t>Michael Unit, Tennessee Colony</t>
  </si>
  <si>
    <t>Safety:  Replace Emergency Generator - Lift Station</t>
  </si>
  <si>
    <t>09413001</t>
  </si>
  <si>
    <t>Gurney Unit, Tennessee Colony</t>
  </si>
  <si>
    <t>Facility Repair:  Renovate Maintenance Shop</t>
  </si>
  <si>
    <t>06716001</t>
  </si>
  <si>
    <t>08015001</t>
  </si>
  <si>
    <t>Sayle Unit, Breckenridge</t>
  </si>
  <si>
    <t>Facility Repair:  Replace Feed Water Tank - Boiler Room</t>
  </si>
  <si>
    <t>06211002</t>
  </si>
  <si>
    <t>Ft. Stockton Unit, Fort Stockton</t>
  </si>
  <si>
    <t>Facility Repair:  Replace Showers - Offender Dorms</t>
  </si>
  <si>
    <t>01313007</t>
  </si>
  <si>
    <t>Huntsville Unit, Huntsville</t>
  </si>
  <si>
    <t>Roofing:  Replace Roof - Repair Shop</t>
  </si>
  <si>
    <t>04505002</t>
  </si>
  <si>
    <t>Estes Unit, Venus</t>
  </si>
  <si>
    <t>Security:  Install Concrete Footer - Perimeter Fence</t>
  </si>
  <si>
    <t>08915001</t>
  </si>
  <si>
    <t>Johnston Unit, Winnsboro</t>
  </si>
  <si>
    <t>Facility Repair:  Replace Steam Boiler - Boiler Room</t>
  </si>
  <si>
    <t>08416002</t>
  </si>
  <si>
    <t>Halbert Unit, Burnet</t>
  </si>
  <si>
    <t>Facility Repair:  Replace Refrigeration Equipment - Food Service</t>
  </si>
  <si>
    <t>02215006</t>
  </si>
  <si>
    <t>Beto Unit, Tennessee Colony</t>
  </si>
  <si>
    <t>Facility Repair:  Replace Hot Water Storage Tank - Boiler Room</t>
  </si>
  <si>
    <t>12913004</t>
  </si>
  <si>
    <t>Young Unit, Dickinson</t>
  </si>
  <si>
    <t>Infrastructure:  Replace/Refurbish Cooling Tower  - Central Plant</t>
  </si>
  <si>
    <t>10014001</t>
  </si>
  <si>
    <t>Lychner Unit, Humble</t>
  </si>
  <si>
    <t>Facility Repair:  Replace HVAC Unit - Medical</t>
  </si>
  <si>
    <t>03015002</t>
  </si>
  <si>
    <t>Jester III Unit, Richmond</t>
  </si>
  <si>
    <t xml:space="preserve">Facility Repair:  Replace Heat Exchangers, Storage Tank &amp; Condensate Pump - Heat Exchanger Room </t>
  </si>
  <si>
    <t>07815004</t>
  </si>
  <si>
    <t>Segovia Unit, Edinburg</t>
  </si>
  <si>
    <t>Facility Repair:  Replace Water Softener - Multiple Dorms</t>
  </si>
  <si>
    <t>09915002</t>
  </si>
  <si>
    <t>Facility Repair:  Refurbish Air Handler - Kitchen</t>
  </si>
  <si>
    <t>01711010</t>
  </si>
  <si>
    <t>Ramsey Unit, Rosharon</t>
  </si>
  <si>
    <t>Security:  Replace Locking System</t>
  </si>
  <si>
    <t>02802006</t>
  </si>
  <si>
    <t>Powledge Unit, Palestine</t>
  </si>
  <si>
    <t>Roofing:  Repair/Replace Roof on Metal Fab Factory Building</t>
  </si>
  <si>
    <t>02909007</t>
  </si>
  <si>
    <t>Luther Unit, Navasota</t>
  </si>
  <si>
    <t>Safety:  Install Fire Alarm System - Multiple Locations</t>
  </si>
  <si>
    <t>04301001</t>
  </si>
  <si>
    <t>Kyle Unit, Kyle</t>
  </si>
  <si>
    <t>Safety:  Repair/Replace  Fire Alarm System - Multiple Buildings</t>
  </si>
  <si>
    <t>04404002</t>
  </si>
  <si>
    <t>Bridgeport Unit, Bridgeport</t>
  </si>
  <si>
    <t xml:space="preserve">Security:  Replace Control System Electric Door Locks &amp; Intercom System </t>
  </si>
  <si>
    <t>03711006</t>
  </si>
  <si>
    <t>Clements Unit, Amarillo</t>
  </si>
  <si>
    <t>Roofing:  Replace Roof - Multiple Buildings</t>
  </si>
  <si>
    <t>03608012</t>
  </si>
  <si>
    <t>Security:  Replace Door Controls - Multiple Buildings</t>
  </si>
  <si>
    <t>01802005</t>
  </si>
  <si>
    <t>Stringfellow Unit, Rosharon</t>
  </si>
  <si>
    <t>Security:  Replace Cell Door Locks - Offender Dorm Wing</t>
  </si>
  <si>
    <t>02004006</t>
  </si>
  <si>
    <t>Wynne Unit, Huntsville</t>
  </si>
  <si>
    <t>Facility Repair:  Extending Covered Area - Transportation Repair Shop</t>
  </si>
  <si>
    <t>02413007</t>
  </si>
  <si>
    <t>Crain Unit, Gatesville</t>
  </si>
  <si>
    <t>Roofing:  Replace Roof - Dorm Building</t>
  </si>
  <si>
    <t>03111006</t>
  </si>
  <si>
    <t>Hilltop Unit, Gatesville</t>
  </si>
  <si>
    <t xml:space="preserve">Infrastructure:  Replace Ground Water Storage Tank </t>
  </si>
  <si>
    <t>01410011</t>
  </si>
  <si>
    <t>Jester I Unit, Richmond</t>
  </si>
  <si>
    <t>Infrastructure:  Replace Ground Storage Water Tanks #1 &amp; #2</t>
  </si>
  <si>
    <t>11812001</t>
  </si>
  <si>
    <t>Travis Co. Unit, Austin</t>
  </si>
  <si>
    <t>Infrastructure:  Replace Grease Trap - Kitchen</t>
  </si>
  <si>
    <t>05410010</t>
  </si>
  <si>
    <t>Polunsky Unit, Livingston</t>
  </si>
  <si>
    <t>Security:  Install High Mast Lighting - Offender Dorm Building &amp; Perimeter Fence</t>
  </si>
  <si>
    <t>01312013</t>
  </si>
  <si>
    <t>Roofing:  Replace Roof - Security Operations Building</t>
  </si>
  <si>
    <t>Sale of Land Proceeds
Account No. 0543</t>
  </si>
  <si>
    <t>00513004</t>
  </si>
  <si>
    <t>Roofing:  Replace Roof - Main Building</t>
  </si>
  <si>
    <t>04710001</t>
  </si>
  <si>
    <t>Robertson Unit, Abilene</t>
  </si>
  <si>
    <t>Roofing:  Replace Roofs - Multiple Buildings</t>
  </si>
  <si>
    <t>02911013</t>
  </si>
  <si>
    <t xml:space="preserve">Infrastructure:  Replace Ground Storage Tank - Water Plant </t>
  </si>
  <si>
    <t>01113002</t>
  </si>
  <si>
    <t>Ferguson Unit, Midway</t>
  </si>
  <si>
    <t>Infrastructure:  Refurbish Elevated Storage Tank - Water Plant</t>
  </si>
  <si>
    <t>11106003</t>
  </si>
  <si>
    <t>Moore Unit, Bonham</t>
  </si>
  <si>
    <t>Security:  Replace Security Control System</t>
  </si>
  <si>
    <t>03708003</t>
  </si>
  <si>
    <t>Safety:  DESIGN ONLY - Repair/Replace Fire Line - Administrative Segregation</t>
  </si>
  <si>
    <t>03608011</t>
  </si>
  <si>
    <t>02210005</t>
  </si>
  <si>
    <t>Facility Repair:  Replace Flooring - Main Kitchen &amp; Scullery</t>
  </si>
  <si>
    <t>01915001</t>
  </si>
  <si>
    <t>Scott Unit, Angleton</t>
  </si>
  <si>
    <t>Infrastructure:  Replace Lift Station and Bar Screen - Waste Water Treatment Plant</t>
  </si>
  <si>
    <t>02212005</t>
  </si>
  <si>
    <t>Safety:  Install Standby Generator &amp; Transfer Switch - Trusty Camp</t>
  </si>
  <si>
    <t>00512007</t>
  </si>
  <si>
    <t>Safety:  Install Standby Generator  - Trusty Camp</t>
  </si>
  <si>
    <t>01714002</t>
  </si>
  <si>
    <t>02215011</t>
  </si>
  <si>
    <t>Facility Repair:  Install Electrical to Cells - Infirmary</t>
  </si>
  <si>
    <t>01913008</t>
  </si>
  <si>
    <t>Facility Repair:  Renovate 3 &amp; 4 Pickets</t>
  </si>
  <si>
    <t>02212017</t>
  </si>
  <si>
    <t>Infrastructure:  Replace Hot Water Lines - Main Building</t>
  </si>
  <si>
    <t>10814001</t>
  </si>
  <si>
    <t>Infrastructure:  Renovate Elevated Water Storage Tank</t>
  </si>
  <si>
    <t>03913005</t>
  </si>
  <si>
    <t>Hobby Unit, Marlin</t>
  </si>
  <si>
    <t>Roofing:  Replace Roof - Kitchen/Commissary</t>
  </si>
  <si>
    <t>02012008</t>
  </si>
  <si>
    <t>Facility Repair:  Replace Flooring - Kitchen</t>
  </si>
  <si>
    <t>03616019</t>
  </si>
  <si>
    <t>Infrastructure:  Replace Transformer - Packing Plant</t>
  </si>
  <si>
    <t>00609001</t>
  </si>
  <si>
    <t>Coffield Unit, Tennessee Colony</t>
  </si>
  <si>
    <t>Facility Repair:  Renovate Commissary Space</t>
  </si>
  <si>
    <t>01713045</t>
  </si>
  <si>
    <t>Roofing:  Replace Roof - Kitchen</t>
  </si>
  <si>
    <t>03813007</t>
  </si>
  <si>
    <t>Daniel Unit, Snyder</t>
  </si>
  <si>
    <t>04012003</t>
  </si>
  <si>
    <t>Lewis Unit, Woodville</t>
  </si>
  <si>
    <t>04813002</t>
  </si>
  <si>
    <t>McConnell Unit, Beeville</t>
  </si>
  <si>
    <t>Safety:  Replace Intercom System - Medical</t>
  </si>
  <si>
    <t>02615001</t>
  </si>
  <si>
    <t>Pack Unit, Navasota</t>
  </si>
  <si>
    <t>Infrastructure:  Replace Filtration System - Storage Tank</t>
  </si>
  <si>
    <t>02813001</t>
  </si>
  <si>
    <t>Infrastructure:  DESIGN ONLY - Repair Washout - Outfall Line Waste Water Treatment Plant</t>
  </si>
  <si>
    <t>01313008</t>
  </si>
  <si>
    <t>Roofing:  Repair/Replace Roof - Mechanical Department</t>
  </si>
  <si>
    <t>03312003</t>
  </si>
  <si>
    <t>Jester IV Unit, Richmond</t>
  </si>
  <si>
    <t>Roofing:  DESIGN ONLY - Replace Roof - Psychiatric Facility</t>
  </si>
  <si>
    <t>03613004</t>
  </si>
  <si>
    <t>Roofing:  DESIGN ONLY - Replace Roof - Multiple Buildings</t>
  </si>
  <si>
    <t>01914001</t>
  </si>
  <si>
    <t>Facility Repair:  DESIGN ONLY - Replace Plumbing - Multiple Cell Blocks</t>
  </si>
  <si>
    <t>01913004</t>
  </si>
  <si>
    <t>Facility Repair:  DESIGN ONLY - Kitchen Renovation</t>
  </si>
  <si>
    <t>02702010</t>
  </si>
  <si>
    <t>Terrell Unit, Rosharon</t>
  </si>
  <si>
    <t>Facility Repair:  Renovate Exhaust System - Vocational Shop</t>
  </si>
  <si>
    <t>01912007</t>
  </si>
  <si>
    <t>Security:  DESIGN ONLY - Replace Locking System - Multiple Wings</t>
  </si>
  <si>
    <t>01205010</t>
  </si>
  <si>
    <t>Goree Unit, Huntsville</t>
  </si>
  <si>
    <t>Facility Repair:  Renovate Showers - Multiple Buildings</t>
  </si>
  <si>
    <t>01300042</t>
  </si>
  <si>
    <t>Safety:  DESIGN ONLY - Install Fire Alarm System</t>
  </si>
  <si>
    <t>04813003</t>
  </si>
  <si>
    <t>Infrastructure:  DESIGN ONLY - Replace Steam &amp; Condensate Lines - Kitchen/Laundry Building</t>
  </si>
  <si>
    <t>12107001</t>
  </si>
  <si>
    <t>Lindsey Unit, Jacksboro</t>
  </si>
  <si>
    <t>Infrastructure:  DESIGN ONLY - Correct Drainage - Multiple Buildings</t>
  </si>
  <si>
    <t>01000010</t>
  </si>
  <si>
    <t>Safety:  DESIGN ONLY - Install Fire Alarm System - Unit Wide</t>
  </si>
  <si>
    <t>08116009</t>
  </si>
  <si>
    <t>Rudd Unit, Brownfield</t>
  </si>
  <si>
    <t>Facility Repair:  Replace Refrigeration Equipment - Kitchen</t>
  </si>
  <si>
    <t>05402015</t>
  </si>
  <si>
    <t>Roofing:  Repair / Replace Roofs - Multiple Buildings</t>
  </si>
  <si>
    <t>09216001</t>
  </si>
  <si>
    <t>Holliday Unit, Huntsville</t>
  </si>
  <si>
    <t>Safety:  Add Wheelchair Accessibility - Multiple Dorms</t>
  </si>
  <si>
    <t>06517001</t>
  </si>
  <si>
    <t>San Saba Unit, San Saba</t>
  </si>
  <si>
    <t>Facility Repair:  Replace Boilers</t>
  </si>
  <si>
    <t>04716003</t>
  </si>
  <si>
    <t>Facility Repair:  Replace Deaerator - Boiler Room</t>
  </si>
  <si>
    <t>03612001</t>
  </si>
  <si>
    <t>Infrastructure:  DESIGN ONLY - Replace Elevated Storage Tank &amp; Storage Tank Well #4</t>
  </si>
  <si>
    <t>01608001</t>
  </si>
  <si>
    <t>Mt. View Unit, Gatesville</t>
  </si>
  <si>
    <t>Infrastructure:  DESIGN ONLY - Replace Ground Water Storage Tank, Boost Station and Replace Water Lines</t>
  </si>
  <si>
    <t>00715005</t>
  </si>
  <si>
    <t>Darrington Unit, Rosharon</t>
  </si>
  <si>
    <t>Facility Repair:  Replace Chillers - Intake Housing</t>
  </si>
  <si>
    <t>09215009</t>
  </si>
  <si>
    <t>02212024</t>
  </si>
  <si>
    <t>Infrastructure:  Reline Manholes</t>
  </si>
  <si>
    <t>10316007</t>
  </si>
  <si>
    <t>Lopez Unit, Edinburg</t>
  </si>
  <si>
    <t>Facility Repair:  Replace Air Handler - Administrative Segregation</t>
  </si>
  <si>
    <t>09816005</t>
  </si>
  <si>
    <t>Dominguez Unit, San Antonio</t>
  </si>
  <si>
    <t>Facility Repair:  Replace HVAC Unit - Kitchen</t>
  </si>
  <si>
    <t>01200043</t>
  </si>
  <si>
    <t xml:space="preserve">Safety:  Install Fire Alarm System </t>
  </si>
  <si>
    <t>03211005</t>
  </si>
  <si>
    <t>Estelle Unit, Huntsville</t>
  </si>
  <si>
    <t>Security:  Replace Exterior Lighting</t>
  </si>
  <si>
    <t>01910013</t>
  </si>
  <si>
    <t>Infrastructure:  Replace Gas and Water Lines</t>
  </si>
  <si>
    <t>06816007</t>
  </si>
  <si>
    <t>Connally Unit, Kenedy</t>
  </si>
  <si>
    <t>Facility Repair:  Replace HVAC Units - Education and Medical</t>
  </si>
  <si>
    <t>00716001</t>
  </si>
  <si>
    <t>Facility Repair:  Replace Chillers - Warehouse</t>
  </si>
  <si>
    <t>03115003</t>
  </si>
  <si>
    <t>Infrastructure:  Replace Boilers - Boiler Room</t>
  </si>
  <si>
    <t>07916001</t>
  </si>
  <si>
    <t>01015008</t>
  </si>
  <si>
    <t>Infrastructure:  Replace Service Entrance Switchgear - Back Gate</t>
  </si>
  <si>
    <t>07009003</t>
  </si>
  <si>
    <t>Neal Unit, Amarillo</t>
  </si>
  <si>
    <t xml:space="preserve">Facility Repair:  Renovate Mechanical Room and Replace Showers </t>
  </si>
  <si>
    <t>05216006</t>
  </si>
  <si>
    <t>Briscoe Unit, Dilley</t>
  </si>
  <si>
    <t>09012004</t>
  </si>
  <si>
    <t>Montford Unit, Lubbock</t>
  </si>
  <si>
    <t>Infrastructure:  Install Backflow Preventer</t>
  </si>
  <si>
    <t>09116022</t>
  </si>
  <si>
    <t>Chasefield Unit, Beeville</t>
  </si>
  <si>
    <t>Facility Repair:  Replace Chiller</t>
  </si>
  <si>
    <t>03216017</t>
  </si>
  <si>
    <t>Facility Repair:  Replace Air Handler - High Security Kitchen Roof</t>
  </si>
  <si>
    <t>03616021</t>
  </si>
  <si>
    <t>Safety:  Replace Emergency Generator - Boiler Room</t>
  </si>
  <si>
    <t>01916004</t>
  </si>
  <si>
    <t>Infrastructure:  Refurbish Wastewater Tank</t>
  </si>
  <si>
    <t>00116002</t>
  </si>
  <si>
    <t xml:space="preserve">Administrative Complex, Huntsville </t>
  </si>
  <si>
    <t>Facility Repair:  Replace Cooling Tower - Warehouse</t>
  </si>
  <si>
    <t>00716002</t>
  </si>
  <si>
    <t>Facility Repair:  Provide Electrical Feed to Outside Gym</t>
  </si>
  <si>
    <t>05216001</t>
  </si>
  <si>
    <t>06816006</t>
  </si>
  <si>
    <t>07716003</t>
  </si>
  <si>
    <t>Hamilton Unit, Bryan</t>
  </si>
  <si>
    <t>Facility Repair:  Refurbish Chiller - Food Service</t>
  </si>
  <si>
    <t>07716009</t>
  </si>
  <si>
    <t>Facility Repair:  Replace Condenser and Compressor Rack - Food Service</t>
  </si>
  <si>
    <t>04816015</t>
  </si>
  <si>
    <t>Facility Repair:  Replace Air Handlers - Multiple Buildings</t>
  </si>
  <si>
    <t>07916002</t>
  </si>
  <si>
    <t>Facility Repair: Replace Hot Water Storage Tank - Central Plant</t>
  </si>
  <si>
    <t>00616025</t>
  </si>
  <si>
    <t>Safety:  Replace Emergency Generator - Water Well #3</t>
  </si>
  <si>
    <t>02616030</t>
  </si>
  <si>
    <t>02916006</t>
  </si>
  <si>
    <t>Facility Repair:  Kitchen Repairs</t>
  </si>
  <si>
    <t>10016002</t>
  </si>
  <si>
    <t>Facility Repair:  Replace Plumbing Systems - Multiple Locations</t>
  </si>
  <si>
    <t>00616011</t>
  </si>
  <si>
    <t>Facility Repair:  Replace Chiller - Outside Main Building</t>
  </si>
  <si>
    <t>06816009</t>
  </si>
  <si>
    <t>Facility Repair:  Replace HVAC Units - Multiple Buildings</t>
  </si>
  <si>
    <t>09816002</t>
  </si>
  <si>
    <t>Facility Repair: Replace Refrigeration Equipment - Kitchen</t>
  </si>
  <si>
    <t>09516005</t>
  </si>
  <si>
    <t>Garza West, Beeville</t>
  </si>
  <si>
    <t>07717001</t>
  </si>
  <si>
    <t>Facility Repair:  Replace Chiller - Food Service</t>
  </si>
  <si>
    <t>10316002</t>
  </si>
  <si>
    <t>Facility Repair:  Replace Air Handling Unit - Multiple Buildings</t>
  </si>
  <si>
    <t>07316003</t>
  </si>
  <si>
    <t>Lynaugh Unit, Ft. Stockton</t>
  </si>
  <si>
    <t>04816010</t>
  </si>
  <si>
    <t>08516001</t>
  </si>
  <si>
    <t>Ney Unit, Hondo</t>
  </si>
  <si>
    <t>Facility Repair: Replace HVAC Unit - Medical</t>
  </si>
  <si>
    <t>07816001</t>
  </si>
  <si>
    <t>07116001</t>
  </si>
  <si>
    <t>Stevenson Unit, Cuero</t>
  </si>
  <si>
    <t>06716013</t>
  </si>
  <si>
    <t>Facility Repair:  Replace HVAC Unit - Main Building</t>
  </si>
  <si>
    <t>05516001</t>
  </si>
  <si>
    <t>Torres Unit, Hondo</t>
  </si>
  <si>
    <t>06816011</t>
  </si>
  <si>
    <t>Facility Repair: Replace Air Handling Units - Multiple Buildings</t>
  </si>
  <si>
    <t>06816020</t>
  </si>
  <si>
    <t>09616003</t>
  </si>
  <si>
    <t>Garza East Unit, Beeville</t>
  </si>
  <si>
    <t>11715001</t>
  </si>
  <si>
    <t>Kegans Unit, Houston</t>
  </si>
  <si>
    <t>Facility Repair:  Replace Ceiling - Multiple Locations</t>
  </si>
  <si>
    <t>03615004</t>
  </si>
  <si>
    <t>Facility Repair:  Replace Ceiling - Main Building</t>
  </si>
  <si>
    <t>Plane Unit, Dayton</t>
  </si>
  <si>
    <t>Facility Repair:  Renovate Kitchen - Scullery</t>
  </si>
  <si>
    <t>Facility Repair:  Renovate Shower Area</t>
  </si>
  <si>
    <t>02217002</t>
  </si>
  <si>
    <t>Security:  Install Video Surveillance Cameras - Multiple Locations</t>
  </si>
  <si>
    <t>02017009</t>
  </si>
  <si>
    <t>02717002</t>
  </si>
  <si>
    <t>Facility Repair:  Construct Temporary Sally Port</t>
  </si>
  <si>
    <t>09917001</t>
  </si>
  <si>
    <t>Facility Repair:  Replace Water Heaters - Multiple Buildings</t>
  </si>
  <si>
    <t>05417004</t>
  </si>
  <si>
    <t>00815018</t>
  </si>
  <si>
    <t>Byrd Unit, Huntsville</t>
  </si>
  <si>
    <t xml:space="preserve">Security:  DESIGN ONLY - Replace Locking System </t>
  </si>
  <si>
    <t>00514005</t>
  </si>
  <si>
    <t>00615010</t>
  </si>
  <si>
    <t xml:space="preserve">Roofing:  DESIGN ONLY - Replace Roofs </t>
  </si>
  <si>
    <t>00715006</t>
  </si>
  <si>
    <t xml:space="preserve">Facility Repair:  DESIGN ONLY - Replace Electrical </t>
  </si>
  <si>
    <t>01114013</t>
  </si>
  <si>
    <t>Security:  DESIGN ONLY - Install High Mast Lighting</t>
  </si>
  <si>
    <t>12113002</t>
  </si>
  <si>
    <t>Security:  DESIGN ONLY - Replace Door Controls</t>
  </si>
  <si>
    <t>09015005</t>
  </si>
  <si>
    <t>02814003</t>
  </si>
  <si>
    <t>Roofing:  DESIGN ONLY - Replace Roof - Main Building</t>
  </si>
  <si>
    <t>02715002</t>
  </si>
  <si>
    <t>02015013</t>
  </si>
  <si>
    <t>Facility Repair:  DESIGN ONLY - Replace Underground Wiring</t>
  </si>
  <si>
    <t>01714008</t>
  </si>
  <si>
    <t>12916001</t>
  </si>
  <si>
    <t>03015001</t>
  </si>
  <si>
    <t>04911009</t>
  </si>
  <si>
    <t>Stiles Unit, Beaumont</t>
  </si>
  <si>
    <t>Facility Repair:  Replace Windows - Offender Housing</t>
  </si>
  <si>
    <t>09199005</t>
  </si>
  <si>
    <t>Safety:  Repair/Replace Fire Alarm - Multiple Buildings</t>
  </si>
  <si>
    <t>01313001</t>
  </si>
  <si>
    <t>Roofing:  DESIGN ONLY - Replace Roof/Repair Walls - Infirmary Building</t>
  </si>
  <si>
    <t>01313004</t>
  </si>
  <si>
    <t xml:space="preserve">Facility Repair:  DESIGN ONLY - Repair/Replace South Wall - Perimeter </t>
  </si>
  <si>
    <t>10907002</t>
  </si>
  <si>
    <t>Lockhart Unit, Lockhart</t>
  </si>
  <si>
    <t>Safety:  Replace Fire Alarm - Multiple Buildings</t>
  </si>
  <si>
    <t>02707005</t>
  </si>
  <si>
    <t xml:space="preserve">Infrastructure:  Renovate Sewer Line from Food Service </t>
  </si>
  <si>
    <t>10313003</t>
  </si>
  <si>
    <t>Facility Repair:  Replace/Rebuild Walls and Doors - Kitchen</t>
  </si>
  <si>
    <t>Totals:</t>
  </si>
  <si>
    <t>Supplemental Information</t>
  </si>
  <si>
    <t>TIMELINE:  (original estimated completion date:  10/27/17; actual completion date:  09/14/17).
BUDGET:  Project complete.  Budget reduced to final expenditures.</t>
  </si>
  <si>
    <t>TIMELINE:  (original estimated completion date:  11/15/17; revised:  02/15/18).</t>
  </si>
  <si>
    <t>TIMELINE:  (original estimated completion date:  12/22/17; revised:  1/26/18).</t>
  </si>
  <si>
    <t>TIMELINE:  (original estimated completion date:  6/29/18; revised:  12/21/18).</t>
  </si>
  <si>
    <t>BUDGET:  Project complete.  Budget reduced to final expenditures.</t>
  </si>
  <si>
    <t>TIMELINE:  (original estimated completion date:  12/20/17; revised:  1/20/18).</t>
  </si>
  <si>
    <t>TIMELINE:  (original estimated completion date:  12/15/17; actual completion date:  11/02/17).  Pending final expenditures to close project.</t>
  </si>
  <si>
    <t>TIMELINE:  (original estimated completion date:  10/20/17; revised:  2/23/18).</t>
  </si>
  <si>
    <t>BUDGET:  Additional repairs required.</t>
  </si>
  <si>
    <t>TIMELINE:  (original estimated completion date:  11/13/17; revised:  01/19/18).</t>
  </si>
  <si>
    <t>TIMELINE:  (original estimated completion date:  11/03/17; revised:  01/12/18).</t>
  </si>
  <si>
    <t>TIMELINE:  (original estimated completion date:  12/30/17; revised:  03/09/18).</t>
  </si>
  <si>
    <t>TIMELINE:  (original estimated completion date:  11/30/17; revised:  04/20/18).</t>
  </si>
  <si>
    <t>BUDGET:  All bids disqualified, project will be re-bid at a later date.</t>
  </si>
  <si>
    <t>TIMELINE:  (original estimated completion date:  09/22/17; actual completion date:  11/30/17).  Pending final expenditures to close project.</t>
  </si>
  <si>
    <t>TIMELINE:  (original estimated completion date:  09/22/17; revised:  01/22/18).</t>
  </si>
  <si>
    <t>BUDGET:  Project will be deferred to FY2018-19.</t>
  </si>
  <si>
    <t>TIMELINE:  (original estimated completion date:  12/1/17; revised:  7/15/19).</t>
  </si>
  <si>
    <t>TIMELINE:  (original estimated completion date:  09/29/17; actual completion date:  09/19/17).
BUDGET:  Project complete.  Budget reduced to final expenditures.</t>
  </si>
  <si>
    <t>TIMELINE:  (original completion date:  10/17/16; revised:  2/26/18).  Design being revised to split project into two phases.</t>
  </si>
  <si>
    <t>TIMELINE:  (original completion date:  08/08/16; revised:  2/26/18).  Design being revised to split project into two phases.</t>
  </si>
  <si>
    <t>TIMELINE:  (original estimated completion date:  10/20/17; actual completion date:  9/18/17.)
BUDGET:  Project complete.  Budget reduced to final expenditures.</t>
  </si>
  <si>
    <t>TIMELINE:  (original estimated completion date:  10/13/17; revised:  4/20/18).</t>
  </si>
  <si>
    <t>TIMELINE:  (original estimated completion date:  9/29/17; revised:  3/23/18).</t>
  </si>
  <si>
    <t>BUDGET:  Large portion of construction moved to FY2018-19.</t>
  </si>
  <si>
    <t>TIMELINE:  (original estimated completion date:  9/22/17; revised:  3/23/18).</t>
  </si>
  <si>
    <t>TIMELINE:  (original estimated completion date:  12/15/17; revised:  3/2/18).</t>
  </si>
  <si>
    <t>TIMELINE:  (original estimated completion date:  9/29/17; actual completion date:  10/9/17).  Pending final expenditures to close project.</t>
  </si>
  <si>
    <t>TIMELINE:  (original estimated completion date:  11/17/17; revised:  2/23/18).</t>
  </si>
  <si>
    <t>TIMELINE:  (original estimated completion date:  11/17/17; revised:  4/27/18).</t>
  </si>
  <si>
    <t>TIMELINE:  (original estimated completion date:  1127/17; actual completion date:  9/6/17).
BUDGET:  Project complete.  Budget reduced to final expenditures.</t>
  </si>
  <si>
    <t>TIMELINE:  (original estimated completion date:  11/15/17; revised:  1/22/18).</t>
  </si>
  <si>
    <t>TIMELINE:  (original estimated completion date:  10/20/17; actual completion date:  11/29/17).  Pending final expenditures to close project.</t>
  </si>
  <si>
    <t>TIMELINE:  (original estimated completion date:  10/3/17; revised:  4/27/18).</t>
  </si>
  <si>
    <t>TIMELINE:  (original estimated completion date:  9/30/17; revised:  6/29/18).</t>
  </si>
  <si>
    <t>TIMELINE:  (original estimated completion date:  9/30/17; revised:  3/2/18).</t>
  </si>
  <si>
    <t>TIMELINE:  (original estimated completion date:  9/30/17; actual completion date:  10/11/17).  Pending final expenditures to close project.</t>
  </si>
  <si>
    <t>TIMELINE:  (original estimated completion date:  12/4/17; revised:  4/30/18).</t>
  </si>
  <si>
    <t>TIMELINE:  (original estimated completion date:  10/3/17; revised:  7/27/18).</t>
  </si>
  <si>
    <t>TIMELINE:  (original estimated completion date:  12/22/17; revised:  2/23/18).</t>
  </si>
  <si>
    <t>TIMELINE:  (original estimated completion date:  12/22/17; revised:  3/23/18).</t>
  </si>
  <si>
    <t>TIMELINE:  (original estimated completion date:  12/20/17; revised:  4/27/18).</t>
  </si>
  <si>
    <t>TIMELINE:  (original estimated completion date:  11/15/17; revised:  3/23/18).</t>
  </si>
  <si>
    <t>TIMELINE:  (original estimated completion date:  12/22/17; revised:  6/29/18).</t>
  </si>
  <si>
    <t>PRIORITIZATION:  New project added with priority number 139.
BUDGET:  Replace Ceiling - Main Building.  (Michael Unit, Tennessee Colony)</t>
  </si>
  <si>
    <t>PRIORITIZATION:  Priority revised from 139 to 140.
BUDGET:  Project complete.  Budget reduced to final expenditures.</t>
  </si>
  <si>
    <t>PRIORITIZATION:  Priority revised from 140 to 141.
TIMELINE:  (original estimated completion date:  9/30/17; actual completion date:  10/3/17).  Pending final expenditures to close project.</t>
  </si>
  <si>
    <t>PRIORITIZATION:  Priority revised from 141 to 142.
TIMELINE:  (original estimated completion date:  9/30/17; actual completion date:  10/3/17).  Pending final expenditures to close project.</t>
  </si>
  <si>
    <t>PRIORITIZATION:  Priority revised from 142 to 143.</t>
  </si>
  <si>
    <t>PRIORITIZATION:  Priority revised from 143 to 144.</t>
  </si>
  <si>
    <t>PRIORITIZATION:  New project added with priority number 145.
BUDGET:  Construct Temporary Sally Port.  (Terrell Unit, Rosharon)</t>
  </si>
  <si>
    <t>PRIORITIZATION:  New project added with priority number 146.
BUDGET:  Replace Water Heaters - Multiple Buildings.  (Hutchins Unit, Dallas)</t>
  </si>
  <si>
    <t>PRIORITIZATION:  New project added with priority number 147.
BUDGET:  Replace Hot Water Storage Tank - Boiler Room.  (Polunsky Unit, Livingston)</t>
  </si>
  <si>
    <t>PRIORITIZATION:  Priority revised from 144 to 148.</t>
  </si>
  <si>
    <t>PRIORITIZATION:  Priority revised from 145 to 149.</t>
  </si>
  <si>
    <t>PRIORITIZATION:  Priority revised from 146 to 150.</t>
  </si>
  <si>
    <t>PRIORITIZATION:  Priority revised from 147 to 151.</t>
  </si>
  <si>
    <t>PRIORITIZATION:  Priority revised from 148 to 152.</t>
  </si>
  <si>
    <t>PRIORITIZATION:  Priority revised from 149 to 153.</t>
  </si>
  <si>
    <t>PRIORITIZATION:  Priority revised from 150 to 154.</t>
  </si>
  <si>
    <t>PRIORITIZATION:  Priority revised from 151 to 155.</t>
  </si>
  <si>
    <t>PRIORITIZATION:  Priority revised from 152 to 156.</t>
  </si>
  <si>
    <t>PRIORITIZATION:  Priority revised from 153 to 157.</t>
  </si>
  <si>
    <t>PRIORITIZATION:  New project added with priority number 158.
BUDGET:  Replace Roofs.  (Ramsey Unit, Rosharon)</t>
  </si>
  <si>
    <t>PRIORITIZATION:  New project added with priority number 159.
BUDGET:  Replace Roofs.  (Young Unit, Dickinson)</t>
  </si>
  <si>
    <t>PRIORITIZATION:  New project added with priority number 160.
BUDGET:  Replace Roofs.  (Jester III Unit, Richmond)</t>
  </si>
  <si>
    <t>Texas Facilities Commission (303)</t>
  </si>
  <si>
    <t>John Raff, P.E.</t>
  </si>
  <si>
    <r>
      <t>Texas School for the Deaf (</t>
    </r>
    <r>
      <rPr>
        <b/>
        <sz val="12"/>
        <color theme="1"/>
        <rFont val="Arial"/>
        <family val="2"/>
      </rPr>
      <t>TSD</t>
    </r>
    <r>
      <rPr>
        <sz val="11"/>
        <color theme="1"/>
        <rFont val="Calibri"/>
        <family val="2"/>
        <scheme val="minor"/>
      </rPr>
      <t>) / Texas School for the Blind and Visually Impaired (</t>
    </r>
    <r>
      <rPr>
        <b/>
        <sz val="12"/>
        <color theme="1"/>
        <rFont val="Arial"/>
        <family val="2"/>
      </rPr>
      <t>TSBVI</t>
    </r>
    <r>
      <rPr>
        <sz val="11"/>
        <color theme="1"/>
        <rFont val="Calibri"/>
        <family val="2"/>
        <scheme val="minor"/>
      </rPr>
      <t>) Campus Wide Improvements, Austin TX</t>
    </r>
  </si>
  <si>
    <t>Repair/Replacement of fire protection, life safety, mechanical, plumbing and electrical systems and architectural improvements.</t>
  </si>
  <si>
    <t>GR Funds</t>
  </si>
  <si>
    <r>
      <t>Lyndon B. Johnson Building (</t>
    </r>
    <r>
      <rPr>
        <b/>
        <sz val="12"/>
        <color theme="1"/>
        <rFont val="Arial"/>
        <family val="2"/>
      </rPr>
      <t>LBJ</t>
    </r>
    <r>
      <rPr>
        <sz val="11"/>
        <color theme="1"/>
        <rFont val="Calibri"/>
        <family val="2"/>
        <scheme val="minor"/>
      </rPr>
      <t>), Austin TX</t>
    </r>
  </si>
  <si>
    <t>Repairs to elevators, life safety, mechanical, plumbing and electrical systems.</t>
  </si>
  <si>
    <r>
      <t>William B. Travis Building (</t>
    </r>
    <r>
      <rPr>
        <b/>
        <sz val="12"/>
        <color theme="1"/>
        <rFont val="Arial"/>
        <family val="2"/>
      </rPr>
      <t>WBT</t>
    </r>
    <r>
      <rPr>
        <sz val="11"/>
        <color theme="1"/>
        <rFont val="Calibri"/>
        <family val="2"/>
        <scheme val="minor"/>
      </rPr>
      <t>), Austin TX</t>
    </r>
  </si>
  <si>
    <t xml:space="preserve">Repairs to mechanical systems and enhancement to indoor air quality. </t>
  </si>
  <si>
    <r>
      <t>Stephen F. Austin Building (</t>
    </r>
    <r>
      <rPr>
        <b/>
        <sz val="12"/>
        <color theme="1"/>
        <rFont val="Arial"/>
        <family val="2"/>
      </rPr>
      <t>SFA</t>
    </r>
    <r>
      <rPr>
        <sz val="11"/>
        <color theme="1"/>
        <rFont val="Calibri"/>
        <family val="2"/>
        <scheme val="minor"/>
      </rPr>
      <t>), Austin, TX</t>
    </r>
  </si>
  <si>
    <t>Repairs to mechanical and plumbing systems.</t>
  </si>
  <si>
    <r>
      <t xml:space="preserve">7-Building Improvements Project Austin TX
</t>
    </r>
    <r>
      <rPr>
        <sz val="10"/>
        <color theme="1"/>
        <rFont val="Arial"/>
        <family val="2"/>
      </rPr>
      <t>Central Services Bldg. (</t>
    </r>
    <r>
      <rPr>
        <b/>
        <sz val="10"/>
        <color theme="1"/>
        <rFont val="Arial"/>
        <family val="2"/>
      </rPr>
      <t>CSB</t>
    </r>
    <r>
      <rPr>
        <sz val="10"/>
        <color theme="1"/>
        <rFont val="Arial"/>
        <family val="2"/>
      </rPr>
      <t>)
Insurance Annex (</t>
    </r>
    <r>
      <rPr>
        <b/>
        <sz val="10"/>
        <color theme="1"/>
        <rFont val="Arial"/>
        <family val="2"/>
      </rPr>
      <t>INX</t>
    </r>
    <r>
      <rPr>
        <sz val="10"/>
        <color theme="1"/>
        <rFont val="Arial"/>
        <family val="2"/>
      </rPr>
      <t>)
John H. Reagan Bldg. (</t>
    </r>
    <r>
      <rPr>
        <b/>
        <sz val="10"/>
        <color theme="1"/>
        <rFont val="Arial"/>
        <family val="2"/>
      </rPr>
      <t>JHR</t>
    </r>
    <r>
      <rPr>
        <sz val="10"/>
        <color theme="1"/>
        <rFont val="Arial"/>
        <family val="2"/>
      </rPr>
      <t>)
Robert E. Johnson Bldg. (</t>
    </r>
    <r>
      <rPr>
        <b/>
        <sz val="10"/>
        <color theme="1"/>
        <rFont val="Arial"/>
        <family val="2"/>
      </rPr>
      <t>REJ</t>
    </r>
    <r>
      <rPr>
        <sz val="10"/>
        <color theme="1"/>
        <rFont val="Arial"/>
        <family val="2"/>
      </rPr>
      <t>)
E.O. Thompson Bldg. (</t>
    </r>
    <r>
      <rPr>
        <b/>
        <sz val="10"/>
        <color theme="1"/>
        <rFont val="Arial"/>
        <family val="2"/>
      </rPr>
      <t>THO</t>
    </r>
    <r>
      <rPr>
        <sz val="10"/>
        <color theme="1"/>
        <rFont val="Arial"/>
        <family val="2"/>
      </rPr>
      <t>)
Thomas J. Rusk Bldg. (</t>
    </r>
    <r>
      <rPr>
        <b/>
        <sz val="10"/>
        <color theme="1"/>
        <rFont val="Arial"/>
        <family val="2"/>
      </rPr>
      <t>TJR</t>
    </r>
    <r>
      <rPr>
        <sz val="10"/>
        <color theme="1"/>
        <rFont val="Arial"/>
        <family val="2"/>
      </rPr>
      <t>)
William P. Clements Jr. Bldg. (</t>
    </r>
    <r>
      <rPr>
        <b/>
        <sz val="10"/>
        <color theme="1"/>
        <rFont val="Arial"/>
        <family val="2"/>
      </rPr>
      <t>WPC</t>
    </r>
    <r>
      <rPr>
        <sz val="10"/>
        <color theme="1"/>
        <rFont val="Arial"/>
        <family val="2"/>
      </rPr>
      <t>)</t>
    </r>
  </si>
  <si>
    <r>
      <rPr>
        <b/>
        <sz val="12"/>
        <color theme="1"/>
        <rFont val="Arial"/>
        <family val="2"/>
      </rPr>
      <t>CSB</t>
    </r>
    <r>
      <rPr>
        <sz val="11"/>
        <color theme="1"/>
        <rFont val="Calibri"/>
        <family val="2"/>
        <scheme val="minor"/>
      </rPr>
      <t>- Repair to fire protection, mechanical systems, plumbing systems, paving, elevators and boilers.</t>
    </r>
    <r>
      <rPr>
        <b/>
        <sz val="12"/>
        <color theme="1"/>
        <rFont val="Arial"/>
        <family val="2"/>
      </rPr>
      <t xml:space="preserve"> INX- </t>
    </r>
    <r>
      <rPr>
        <sz val="11"/>
        <color theme="1"/>
        <rFont val="Calibri"/>
        <family val="2"/>
        <scheme val="minor"/>
      </rPr>
      <t>Repairs to mechanical systems.</t>
    </r>
    <r>
      <rPr>
        <b/>
        <sz val="12"/>
        <color theme="1"/>
        <rFont val="Arial"/>
        <family val="2"/>
      </rPr>
      <t xml:space="preserve"> JHR-</t>
    </r>
    <r>
      <rPr>
        <sz val="11"/>
        <color theme="1"/>
        <rFont val="Calibri"/>
        <family val="2"/>
        <scheme val="minor"/>
      </rPr>
      <t xml:space="preserve"> Repairs to mechanical and electrical systems. </t>
    </r>
    <r>
      <rPr>
        <b/>
        <sz val="12"/>
        <color theme="1"/>
        <rFont val="Arial"/>
        <family val="2"/>
      </rPr>
      <t>REJ-</t>
    </r>
    <r>
      <rPr>
        <sz val="11"/>
        <color theme="1"/>
        <rFont val="Calibri"/>
        <family val="2"/>
        <scheme val="minor"/>
      </rPr>
      <t xml:space="preserve"> Repairs to security, mechanical and electrical systems. </t>
    </r>
    <r>
      <rPr>
        <b/>
        <sz val="12"/>
        <color theme="1"/>
        <rFont val="Arial"/>
        <family val="2"/>
      </rPr>
      <t>THO-</t>
    </r>
    <r>
      <rPr>
        <sz val="11"/>
        <color theme="1"/>
        <rFont val="Calibri"/>
        <family val="2"/>
        <scheme val="minor"/>
      </rPr>
      <t xml:space="preserve"> Repairs t security systems, enhancement to indoor air quality, mechanical systems and architectura systems. </t>
    </r>
    <r>
      <rPr>
        <b/>
        <sz val="12"/>
        <color theme="1"/>
        <rFont val="Arial"/>
        <family val="2"/>
      </rPr>
      <t>TJR-</t>
    </r>
    <r>
      <rPr>
        <sz val="11"/>
        <color theme="1"/>
        <rFont val="Calibri"/>
        <family val="2"/>
        <scheme val="minor"/>
      </rPr>
      <t xml:space="preserve"> Repairs to security, elevators and mechanical systems. </t>
    </r>
    <r>
      <rPr>
        <b/>
        <sz val="12"/>
        <color theme="1"/>
        <rFont val="Arial"/>
        <family val="2"/>
      </rPr>
      <t>WPC-</t>
    </r>
    <r>
      <rPr>
        <sz val="11"/>
        <color theme="1"/>
        <rFont val="Calibri"/>
        <family val="2"/>
        <scheme val="minor"/>
      </rPr>
      <t xml:space="preserve"> Repairs to electrical systems and enhancement to indoor air quality.</t>
    </r>
  </si>
  <si>
    <r>
      <t>William P. Hobby Complex (</t>
    </r>
    <r>
      <rPr>
        <b/>
        <sz val="12"/>
        <color theme="1"/>
        <rFont val="Arial"/>
        <family val="2"/>
      </rPr>
      <t>WPH</t>
    </r>
    <r>
      <rPr>
        <sz val="11"/>
        <color theme="1"/>
        <rFont val="Calibri"/>
        <family val="2"/>
        <scheme val="minor"/>
      </rPr>
      <t>), Austin TX</t>
    </r>
  </si>
  <si>
    <t>Repairs to mechanical, electrical and plumbing systems and fire protection.</t>
  </si>
  <si>
    <t>Brown Heatly Bldg. - Elevator, Austin TX</t>
  </si>
  <si>
    <t>Repairs/Replace Elevators</t>
  </si>
  <si>
    <t>No</t>
  </si>
  <si>
    <r>
      <t xml:space="preserve">4-Building Elevator Project, Austin TX
</t>
    </r>
    <r>
      <rPr>
        <sz val="10"/>
        <color theme="1"/>
        <rFont val="Arial"/>
        <family val="2"/>
      </rPr>
      <t>James Earl Rudder Bldg. (</t>
    </r>
    <r>
      <rPr>
        <b/>
        <sz val="10"/>
        <color theme="1"/>
        <rFont val="Arial"/>
        <family val="2"/>
      </rPr>
      <t>JER</t>
    </r>
    <r>
      <rPr>
        <sz val="10"/>
        <color theme="1"/>
        <rFont val="Arial"/>
        <family val="2"/>
      </rPr>
      <t>)
Thomas J. Rusk Bldg. (</t>
    </r>
    <r>
      <rPr>
        <b/>
        <sz val="10"/>
        <color theme="1"/>
        <rFont val="Arial"/>
        <family val="2"/>
      </rPr>
      <t>TJR</t>
    </r>
    <r>
      <rPr>
        <sz val="10"/>
        <color theme="1"/>
        <rFont val="Arial"/>
        <family val="2"/>
      </rPr>
      <t>)
William P. Clements Jr. Bldg. (</t>
    </r>
    <r>
      <rPr>
        <b/>
        <sz val="10"/>
        <color theme="1"/>
        <rFont val="Arial"/>
        <family val="2"/>
      </rPr>
      <t>WPC</t>
    </r>
    <r>
      <rPr>
        <sz val="10"/>
        <color theme="1"/>
        <rFont val="Arial"/>
        <family val="2"/>
      </rPr>
      <t>)
William P. Hobby Complex (</t>
    </r>
    <r>
      <rPr>
        <b/>
        <sz val="10"/>
        <color theme="1"/>
        <rFont val="Arial"/>
        <family val="2"/>
      </rPr>
      <t>WPH</t>
    </r>
    <r>
      <rPr>
        <sz val="10"/>
        <color theme="1"/>
        <rFont val="Arial"/>
        <family val="2"/>
      </rPr>
      <t>)</t>
    </r>
  </si>
  <si>
    <r>
      <t xml:space="preserve">Repair/Replace Elevators in buildings - </t>
    </r>
    <r>
      <rPr>
        <b/>
        <sz val="12"/>
        <color theme="1"/>
        <rFont val="Arial"/>
        <family val="2"/>
      </rPr>
      <t>JER, TJR, WPC, WPH</t>
    </r>
  </si>
  <si>
    <r>
      <t xml:space="preserve">5-Building Project, Austin TX
</t>
    </r>
    <r>
      <rPr>
        <sz val="10"/>
        <color theme="1"/>
        <rFont val="Arial"/>
        <family val="2"/>
      </rPr>
      <t>Insurance Building (</t>
    </r>
    <r>
      <rPr>
        <b/>
        <sz val="10"/>
        <color theme="1"/>
        <rFont val="Arial"/>
        <family val="2"/>
      </rPr>
      <t>INS</t>
    </r>
    <r>
      <rPr>
        <sz val="10"/>
        <color theme="1"/>
        <rFont val="Arial"/>
        <family val="2"/>
      </rPr>
      <t>)
Price Daniel Sr. Building (</t>
    </r>
    <r>
      <rPr>
        <b/>
        <sz val="10"/>
        <color theme="1"/>
        <rFont val="Arial"/>
        <family val="2"/>
      </rPr>
      <t>PDB</t>
    </r>
    <r>
      <rPr>
        <sz val="10"/>
        <color theme="1"/>
        <rFont val="Arial"/>
        <family val="2"/>
      </rPr>
      <t>)
Supreme Court Building (</t>
    </r>
    <r>
      <rPr>
        <b/>
        <sz val="10"/>
        <color theme="1"/>
        <rFont val="Arial"/>
        <family val="2"/>
      </rPr>
      <t>SCB</t>
    </r>
    <r>
      <rPr>
        <sz val="10"/>
        <color theme="1"/>
        <rFont val="Arial"/>
        <family val="2"/>
      </rPr>
      <t>)
Sam Houston Building (</t>
    </r>
    <r>
      <rPr>
        <b/>
        <sz val="10"/>
        <color theme="1"/>
        <rFont val="Arial"/>
        <family val="2"/>
      </rPr>
      <t>SHB</t>
    </r>
    <r>
      <rPr>
        <sz val="10"/>
        <color theme="1"/>
        <rFont val="Arial"/>
        <family val="2"/>
      </rPr>
      <t>)
Thomas C. Clark Building (</t>
    </r>
    <r>
      <rPr>
        <b/>
        <sz val="10"/>
        <color theme="1"/>
        <rFont val="Arial"/>
        <family val="2"/>
      </rPr>
      <t>TCC</t>
    </r>
    <r>
      <rPr>
        <sz val="10"/>
        <color theme="1"/>
        <rFont val="Arial"/>
        <family val="2"/>
      </rPr>
      <t>)</t>
    </r>
  </si>
  <si>
    <r>
      <rPr>
        <b/>
        <sz val="12"/>
        <color theme="1"/>
        <rFont val="Arial"/>
        <family val="2"/>
      </rPr>
      <t>INS-</t>
    </r>
    <r>
      <rPr>
        <sz val="11"/>
        <color theme="1"/>
        <rFont val="Calibri"/>
        <family val="2"/>
        <scheme val="minor"/>
      </rPr>
      <t xml:space="preserve"> Repairs to security, life safety, mechanical systems, exterior windows, architectural finishes, rain water drainage and waterproofing systems. </t>
    </r>
    <r>
      <rPr>
        <b/>
        <sz val="12"/>
        <color theme="1"/>
        <rFont val="Arial"/>
        <family val="2"/>
      </rPr>
      <t>PDB-</t>
    </r>
    <r>
      <rPr>
        <sz val="11"/>
        <color theme="1"/>
        <rFont val="Calibri"/>
        <family val="2"/>
        <scheme val="minor"/>
      </rPr>
      <t xml:space="preserve"> Repairs to mechanical systems and enhancement to indoor air quality. </t>
    </r>
    <r>
      <rPr>
        <b/>
        <sz val="12"/>
        <color theme="1"/>
        <rFont val="Arial"/>
        <family val="2"/>
      </rPr>
      <t>SCB-</t>
    </r>
    <r>
      <rPr>
        <sz val="11"/>
        <color theme="1"/>
        <rFont val="Calibri"/>
        <family val="2"/>
        <scheme val="minor"/>
      </rPr>
      <t xml:space="preserve"> Enhancement to indoor air quality, repairs to security systems, elevators, mechanical and electrical systems. </t>
    </r>
    <r>
      <rPr>
        <b/>
        <sz val="12"/>
        <color theme="1"/>
        <rFont val="Arial"/>
        <family val="2"/>
      </rPr>
      <t>SHB-</t>
    </r>
    <r>
      <rPr>
        <sz val="11"/>
        <color theme="1"/>
        <rFont val="Calibri"/>
        <family val="2"/>
        <scheme val="minor"/>
      </rPr>
      <t xml:space="preserve"> Repairs to mechanical systems. </t>
    </r>
    <r>
      <rPr>
        <b/>
        <sz val="12"/>
        <color theme="1"/>
        <rFont val="Arial"/>
        <family val="2"/>
      </rPr>
      <t>TCC-</t>
    </r>
    <r>
      <rPr>
        <sz val="11"/>
        <color theme="1"/>
        <rFont val="Calibri"/>
        <family val="2"/>
        <scheme val="minor"/>
      </rPr>
      <t xml:space="preserve"> Enhancement to indoor air quality, repairs to elevators, mechanical, waterproofing systems.</t>
    </r>
  </si>
  <si>
    <r>
      <t>John H. Winters Complex (</t>
    </r>
    <r>
      <rPr>
        <b/>
        <sz val="12"/>
        <color theme="1"/>
        <rFont val="Arial"/>
        <family val="2"/>
      </rPr>
      <t>JHW</t>
    </r>
    <r>
      <rPr>
        <sz val="11"/>
        <color theme="1"/>
        <rFont val="Calibri"/>
        <family val="2"/>
        <scheme val="minor"/>
      </rPr>
      <t>), Austin TX</t>
    </r>
  </si>
  <si>
    <t>Repairs to data center, life safety, accessibility, fire protection, mechanical, plumbing, electrical systems and architectural finishes.</t>
  </si>
  <si>
    <r>
      <t xml:space="preserve">DSHS - 4 Building Project, Austin TX
</t>
    </r>
    <r>
      <rPr>
        <sz val="10"/>
        <color theme="1"/>
        <rFont val="Arial"/>
        <family val="2"/>
      </rPr>
      <t>Dept. of Health Bldg. F (</t>
    </r>
    <r>
      <rPr>
        <b/>
        <sz val="10"/>
        <color theme="1"/>
        <rFont val="Arial"/>
        <family val="2"/>
      </rPr>
      <t>DHF</t>
    </r>
    <r>
      <rPr>
        <sz val="10"/>
        <color theme="1"/>
        <rFont val="Arial"/>
        <family val="2"/>
      </rPr>
      <t>)
Dept. of Health Records Bldg. (</t>
    </r>
    <r>
      <rPr>
        <b/>
        <sz val="10"/>
        <color theme="1"/>
        <rFont val="Arial"/>
        <family val="2"/>
      </rPr>
      <t>DHR</t>
    </r>
    <r>
      <rPr>
        <sz val="10"/>
        <color theme="1"/>
        <rFont val="Arial"/>
        <family val="2"/>
      </rPr>
      <t>)
Dept. of Health Tower (</t>
    </r>
    <r>
      <rPr>
        <b/>
        <sz val="10"/>
        <color theme="1"/>
        <rFont val="Arial"/>
        <family val="2"/>
      </rPr>
      <t>DHT</t>
    </r>
    <r>
      <rPr>
        <sz val="10"/>
        <color theme="1"/>
        <rFont val="Arial"/>
        <family val="2"/>
      </rPr>
      <t>)
Robert Beirnstein Bldg. (</t>
    </r>
    <r>
      <rPr>
        <b/>
        <sz val="10"/>
        <color theme="1"/>
        <rFont val="Arial"/>
        <family val="2"/>
      </rPr>
      <t>RBB</t>
    </r>
    <r>
      <rPr>
        <sz val="10"/>
        <color theme="1"/>
        <rFont val="Arial"/>
        <family val="2"/>
      </rPr>
      <t>)</t>
    </r>
  </si>
  <si>
    <r>
      <rPr>
        <b/>
        <sz val="12"/>
        <color theme="1"/>
        <rFont val="Arial"/>
        <family val="2"/>
      </rPr>
      <t>DHF-</t>
    </r>
    <r>
      <rPr>
        <sz val="11"/>
        <color theme="1"/>
        <rFont val="Calibri"/>
        <family val="2"/>
        <scheme val="minor"/>
      </rPr>
      <t xml:space="preserve"> Repairs to mechanical systems.</t>
    </r>
    <r>
      <rPr>
        <b/>
        <sz val="12"/>
        <color theme="1"/>
        <rFont val="Arial"/>
        <family val="2"/>
      </rPr>
      <t xml:space="preserve"> DHR-</t>
    </r>
    <r>
      <rPr>
        <sz val="11"/>
        <color theme="1"/>
        <rFont val="Calibri"/>
        <family val="2"/>
        <scheme val="minor"/>
      </rPr>
      <t xml:space="preserve"> Repairs to MEP systems, restrooms, paving and architectural finishes. </t>
    </r>
    <r>
      <rPr>
        <b/>
        <sz val="12"/>
        <color theme="1"/>
        <rFont val="Arial"/>
        <family val="2"/>
      </rPr>
      <t>DHT-</t>
    </r>
    <r>
      <rPr>
        <sz val="11"/>
        <color theme="1"/>
        <rFont val="Calibri"/>
        <family val="2"/>
        <scheme val="minor"/>
      </rPr>
      <t xml:space="preserve"> Repairs to fire protection, MEP systems and architectural finishes. </t>
    </r>
    <r>
      <rPr>
        <b/>
        <sz val="12"/>
        <color theme="1"/>
        <rFont val="Arial"/>
        <family val="2"/>
      </rPr>
      <t>RBB-</t>
    </r>
    <r>
      <rPr>
        <sz val="11"/>
        <color theme="1"/>
        <rFont val="Calibri"/>
        <family val="2"/>
        <scheme val="minor"/>
      </rPr>
      <t xml:space="preserve"> Repairs to elevators, MEP systems, security systems and enhancement of indoor air quality.</t>
    </r>
  </si>
  <si>
    <r>
      <t>Dept. of Health Old Plant (</t>
    </r>
    <r>
      <rPr>
        <b/>
        <sz val="12"/>
        <color theme="1"/>
        <rFont val="Arial"/>
        <family val="2"/>
      </rPr>
      <t>DHOP</t>
    </r>
    <r>
      <rPr>
        <sz val="11"/>
        <color theme="1"/>
        <rFont val="Calibri"/>
        <family val="2"/>
        <scheme val="minor"/>
      </rPr>
      <t>), Austin TX</t>
    </r>
  </si>
  <si>
    <r>
      <rPr>
        <b/>
        <sz val="12"/>
        <color theme="1"/>
        <rFont val="Arial"/>
        <family val="2"/>
      </rPr>
      <t>DHOP</t>
    </r>
    <r>
      <rPr>
        <sz val="11"/>
        <color theme="1"/>
        <rFont val="Calibri"/>
        <family val="2"/>
        <scheme val="minor"/>
      </rPr>
      <t>- Repairs to MEP systems, fire protection and security systems.</t>
    </r>
  </si>
  <si>
    <t>TFC Portfolio Wide Facility Condition Assessment</t>
  </si>
  <si>
    <t>To provide condition assessment for TFC to include 44 office buildings, 8 warehouse/storage facilities, 9 special use facilities, 47 Texas School for the Deaf buildings, 34 Texas School for the Blind and Visually Impaired campus buildings, 19 parking garages and 33 parking lots.</t>
  </si>
  <si>
    <r>
      <t xml:space="preserve">11-Building Project, Austin TX 
</t>
    </r>
    <r>
      <rPr>
        <sz val="10"/>
        <color theme="1"/>
        <rFont val="Arial"/>
        <family val="2"/>
      </rPr>
      <t>Brown Heatly Bldg. (</t>
    </r>
    <r>
      <rPr>
        <b/>
        <sz val="10"/>
        <color theme="1"/>
        <rFont val="Arial"/>
        <family val="2"/>
      </rPr>
      <t>BHB</t>
    </r>
    <r>
      <rPr>
        <sz val="10"/>
        <color theme="1"/>
        <rFont val="Arial"/>
        <family val="2"/>
      </rPr>
      <t>)
Dept. of Assistive and Rehabilitative Services Admin. Bldg. (</t>
    </r>
    <r>
      <rPr>
        <b/>
        <sz val="10"/>
        <color theme="1"/>
        <rFont val="Arial"/>
        <family val="2"/>
      </rPr>
      <t>DARS</t>
    </r>
    <r>
      <rPr>
        <sz val="10"/>
        <color theme="1"/>
        <rFont val="Arial"/>
        <family val="2"/>
      </rPr>
      <t>)
Dr. Bob Glaze Laboratory (</t>
    </r>
    <r>
      <rPr>
        <b/>
        <sz val="10"/>
        <color theme="1"/>
        <rFont val="Arial"/>
        <family val="2"/>
      </rPr>
      <t>DBGL</t>
    </r>
    <r>
      <rPr>
        <sz val="10"/>
        <color theme="1"/>
        <rFont val="Arial"/>
        <family val="2"/>
      </rPr>
      <t>)
Dept. of Health Bldg. B (</t>
    </r>
    <r>
      <rPr>
        <b/>
        <sz val="10"/>
        <color theme="1"/>
        <rFont val="Arial"/>
        <family val="2"/>
      </rPr>
      <t>DHB</t>
    </r>
    <r>
      <rPr>
        <sz val="10"/>
        <color theme="1"/>
        <rFont val="Arial"/>
        <family val="2"/>
      </rPr>
      <t>)
Dept. of Health Bldg. H (</t>
    </r>
    <r>
      <rPr>
        <b/>
        <sz val="10"/>
        <color theme="1"/>
        <rFont val="Arial"/>
        <family val="2"/>
      </rPr>
      <t>DHH</t>
    </r>
    <r>
      <rPr>
        <sz val="10"/>
        <color theme="1"/>
        <rFont val="Arial"/>
        <family val="2"/>
      </rPr>
      <t>)
Dept. of Health Old Lab (</t>
    </r>
    <r>
      <rPr>
        <b/>
        <sz val="10"/>
        <color theme="1"/>
        <rFont val="Arial"/>
        <family val="2"/>
      </rPr>
      <t>DHOL</t>
    </r>
    <r>
      <rPr>
        <sz val="10"/>
        <color theme="1"/>
        <rFont val="Arial"/>
        <family val="2"/>
      </rPr>
      <t>)
Dept. of Health Lab A600 (</t>
    </r>
    <r>
      <rPr>
        <b/>
        <sz val="10"/>
        <color theme="1"/>
        <rFont val="Arial"/>
        <family val="2"/>
      </rPr>
      <t>A600</t>
    </r>
    <r>
      <rPr>
        <sz val="10"/>
        <color theme="1"/>
        <rFont val="Arial"/>
        <family val="2"/>
      </rPr>
      <t>)
Dept. of Health Service Bldg. (</t>
    </r>
    <r>
      <rPr>
        <b/>
        <sz val="10"/>
        <color theme="1"/>
        <rFont val="Arial"/>
        <family val="2"/>
      </rPr>
      <t>DHSB</t>
    </r>
    <r>
      <rPr>
        <sz val="10"/>
        <color theme="1"/>
        <rFont val="Arial"/>
        <family val="2"/>
      </rPr>
      <t>)
Dept. of Health Annex (</t>
    </r>
    <r>
      <rPr>
        <b/>
        <sz val="10"/>
        <color theme="1"/>
        <rFont val="Arial"/>
        <family val="2"/>
      </rPr>
      <t>DHX</t>
    </r>
    <r>
      <rPr>
        <sz val="10"/>
        <color theme="1"/>
        <rFont val="Arial"/>
        <family val="2"/>
      </rPr>
      <t>)
Disaster Recovery Operations Center (</t>
    </r>
    <r>
      <rPr>
        <b/>
        <sz val="10"/>
        <color theme="1"/>
        <rFont val="Arial"/>
        <family val="2"/>
      </rPr>
      <t>DROC</t>
    </r>
    <r>
      <rPr>
        <sz val="10"/>
        <color theme="1"/>
        <rFont val="Arial"/>
        <family val="2"/>
      </rPr>
      <t>)
Human Services Warehouse (</t>
    </r>
    <r>
      <rPr>
        <b/>
        <sz val="10"/>
        <color theme="1"/>
        <rFont val="Arial"/>
        <family val="2"/>
      </rPr>
      <t>HSW</t>
    </r>
    <r>
      <rPr>
        <sz val="10"/>
        <color theme="1"/>
        <rFont val="Arial"/>
        <family val="2"/>
      </rPr>
      <t>)</t>
    </r>
  </si>
  <si>
    <r>
      <rPr>
        <b/>
        <sz val="11"/>
        <color theme="1"/>
        <rFont val="Calibri"/>
        <family val="2"/>
        <scheme val="minor"/>
      </rPr>
      <t>BHB</t>
    </r>
    <r>
      <rPr>
        <sz val="11"/>
        <color theme="1"/>
        <rFont val="Calibri"/>
        <family val="2"/>
        <scheme val="minor"/>
      </rPr>
      <t xml:space="preserve">- Repairs to accessibility,  electrical and mechanical systems.  </t>
    </r>
    <r>
      <rPr>
        <b/>
        <sz val="11"/>
        <color theme="1"/>
        <rFont val="Calibri"/>
        <family val="2"/>
        <scheme val="minor"/>
      </rPr>
      <t>DARS</t>
    </r>
    <r>
      <rPr>
        <sz val="11"/>
        <color theme="1"/>
        <rFont val="Calibri"/>
        <family val="2"/>
        <scheme val="minor"/>
      </rPr>
      <t xml:space="preserve">- repairs to elevators. </t>
    </r>
    <r>
      <rPr>
        <b/>
        <sz val="11"/>
        <color theme="1"/>
        <rFont val="Calibri"/>
        <family val="2"/>
        <scheme val="minor"/>
      </rPr>
      <t>DBGL</t>
    </r>
    <r>
      <rPr>
        <sz val="11"/>
        <color theme="1"/>
        <rFont val="Calibri"/>
        <family val="2"/>
        <scheme val="minor"/>
      </rPr>
      <t xml:space="preserve">- Repairs to mechanical, roofing systems and enhancement to indoor air quality. </t>
    </r>
    <r>
      <rPr>
        <b/>
        <sz val="11"/>
        <color theme="1"/>
        <rFont val="Calibri"/>
        <family val="2"/>
        <scheme val="minor"/>
      </rPr>
      <t>DHB</t>
    </r>
    <r>
      <rPr>
        <sz val="11"/>
        <color theme="1"/>
        <rFont val="Calibri"/>
        <family val="2"/>
        <scheme val="minor"/>
      </rPr>
      <t xml:space="preserve">- Enhancement to indoor air quality. </t>
    </r>
    <r>
      <rPr>
        <b/>
        <sz val="11"/>
        <color theme="1"/>
        <rFont val="Calibri"/>
        <family val="2"/>
        <scheme val="minor"/>
      </rPr>
      <t>DHH</t>
    </r>
    <r>
      <rPr>
        <sz val="11"/>
        <color theme="1"/>
        <rFont val="Calibri"/>
        <family val="2"/>
        <scheme val="minor"/>
      </rPr>
      <t xml:space="preserve">- Repairs to  mechanical and electrical systems. </t>
    </r>
    <r>
      <rPr>
        <b/>
        <sz val="11"/>
        <color theme="1"/>
        <rFont val="Calibri"/>
        <family val="2"/>
        <scheme val="minor"/>
      </rPr>
      <t xml:space="preserve">DHOL- </t>
    </r>
    <r>
      <rPr>
        <sz val="11"/>
        <color theme="1"/>
        <rFont val="Calibri"/>
        <family val="2"/>
        <scheme val="minor"/>
      </rPr>
      <t xml:space="preserve"> Repairs to roofing, MEP systems, elevators and enhancement of indoor air quality. </t>
    </r>
    <r>
      <rPr>
        <b/>
        <sz val="12"/>
        <color theme="1"/>
        <rFont val="Arial"/>
        <family val="2"/>
      </rPr>
      <t>A600-</t>
    </r>
    <r>
      <rPr>
        <sz val="11"/>
        <color theme="1"/>
        <rFont val="Calibri"/>
        <family val="2"/>
        <scheme val="minor"/>
      </rPr>
      <t xml:space="preserve">  Repairs to roofing, MEP systems, elevators and enhancement of indoor air quality  </t>
    </r>
    <r>
      <rPr>
        <b/>
        <sz val="11"/>
        <color theme="1"/>
        <rFont val="Calibri"/>
        <family val="2"/>
        <scheme val="minor"/>
      </rPr>
      <t>DHSB</t>
    </r>
    <r>
      <rPr>
        <sz val="11"/>
        <color theme="1"/>
        <rFont val="Calibri"/>
        <family val="2"/>
        <scheme val="minor"/>
      </rPr>
      <t xml:space="preserve">- Repairs to mechanical and architectural finishes. </t>
    </r>
    <r>
      <rPr>
        <b/>
        <sz val="11"/>
        <color theme="1"/>
        <rFont val="Calibri"/>
        <family val="2"/>
        <scheme val="minor"/>
      </rPr>
      <t>DHX</t>
    </r>
    <r>
      <rPr>
        <sz val="11"/>
        <color theme="1"/>
        <rFont val="Calibri"/>
        <family val="2"/>
        <scheme val="minor"/>
      </rPr>
      <t xml:space="preserve">- Repairs to security systems, elevators, MEP systems and architectural finishes. </t>
    </r>
    <r>
      <rPr>
        <b/>
        <sz val="11"/>
        <color theme="1"/>
        <rFont val="Calibri"/>
        <family val="2"/>
        <scheme val="minor"/>
      </rPr>
      <t>DROC</t>
    </r>
    <r>
      <rPr>
        <sz val="11"/>
        <color theme="1"/>
        <rFont val="Calibri"/>
        <family val="2"/>
        <scheme val="minor"/>
      </rPr>
      <t xml:space="preserve">- Repairs to mechanical, electrical systems and enhancement of indoor air quality. </t>
    </r>
    <r>
      <rPr>
        <b/>
        <sz val="11"/>
        <color theme="1"/>
        <rFont val="Calibri"/>
        <family val="2"/>
        <scheme val="minor"/>
      </rPr>
      <t>HSW</t>
    </r>
    <r>
      <rPr>
        <sz val="11"/>
        <color theme="1"/>
        <rFont val="Calibri"/>
        <family val="2"/>
        <scheme val="minor"/>
      </rPr>
      <t>- Repairs to elevators, mechanical systems and enhancement of indoor air quality.</t>
    </r>
  </si>
  <si>
    <t>4/31/2020</t>
  </si>
  <si>
    <r>
      <t xml:space="preserve">8-Building Project, Austin, TX
</t>
    </r>
    <r>
      <rPr>
        <sz val="10"/>
        <color theme="1"/>
        <rFont val="Arial"/>
        <family val="2"/>
      </rPr>
      <t>Park 35 Bldg A (</t>
    </r>
    <r>
      <rPr>
        <b/>
        <sz val="10"/>
        <color theme="1"/>
        <rFont val="Arial"/>
        <family val="2"/>
      </rPr>
      <t>P35A</t>
    </r>
    <r>
      <rPr>
        <sz val="10"/>
        <color theme="1"/>
        <rFont val="Arial"/>
        <family val="2"/>
      </rPr>
      <t>)
Park 35 Bldg B (</t>
    </r>
    <r>
      <rPr>
        <b/>
        <sz val="10"/>
        <color theme="1"/>
        <rFont val="Arial"/>
        <family val="2"/>
      </rPr>
      <t>P35B</t>
    </r>
    <r>
      <rPr>
        <sz val="10"/>
        <color theme="1"/>
        <rFont val="Arial"/>
        <family val="2"/>
      </rPr>
      <t>)
Park 35 Bldg C (</t>
    </r>
    <r>
      <rPr>
        <b/>
        <sz val="10"/>
        <color theme="1"/>
        <rFont val="Arial"/>
        <family val="2"/>
      </rPr>
      <t>P35C</t>
    </r>
    <r>
      <rPr>
        <sz val="10"/>
        <color theme="1"/>
        <rFont val="Arial"/>
        <family val="2"/>
      </rPr>
      <t>)
Park 35 Bldg D (</t>
    </r>
    <r>
      <rPr>
        <b/>
        <sz val="10"/>
        <color theme="1"/>
        <rFont val="Arial"/>
        <family val="2"/>
      </rPr>
      <t>P35D</t>
    </r>
    <r>
      <rPr>
        <sz val="10"/>
        <color theme="1"/>
        <rFont val="Arial"/>
        <family val="2"/>
      </rPr>
      <t>)
Park 35 Bldg E (</t>
    </r>
    <r>
      <rPr>
        <b/>
        <sz val="10"/>
        <color theme="1"/>
        <rFont val="Arial"/>
        <family val="2"/>
      </rPr>
      <t>P35E</t>
    </r>
    <r>
      <rPr>
        <sz val="10"/>
        <color theme="1"/>
        <rFont val="Arial"/>
        <family val="2"/>
      </rPr>
      <t>)
Promontory Point (</t>
    </r>
    <r>
      <rPr>
        <b/>
        <sz val="10"/>
        <color theme="1"/>
        <rFont val="Arial"/>
        <family val="2"/>
      </rPr>
      <t>PROM</t>
    </r>
    <r>
      <rPr>
        <sz val="10"/>
        <color theme="1"/>
        <rFont val="Arial"/>
        <family val="2"/>
      </rPr>
      <t>)
State Records Center (</t>
    </r>
    <r>
      <rPr>
        <b/>
        <sz val="10"/>
        <color theme="1"/>
        <rFont val="Arial"/>
        <family val="2"/>
      </rPr>
      <t>SRC</t>
    </r>
    <r>
      <rPr>
        <sz val="10"/>
        <color theme="1"/>
        <rFont val="Arial"/>
        <family val="2"/>
      </rPr>
      <t>)
Wheless Lane Laboratory (</t>
    </r>
    <r>
      <rPr>
        <b/>
        <sz val="10"/>
        <color theme="1"/>
        <rFont val="Arial"/>
        <family val="2"/>
      </rPr>
      <t>WLL</t>
    </r>
    <r>
      <rPr>
        <sz val="10"/>
        <color theme="1"/>
        <rFont val="Arial"/>
        <family val="2"/>
      </rPr>
      <t>)</t>
    </r>
  </si>
  <si>
    <r>
      <rPr>
        <b/>
        <sz val="11"/>
        <color theme="1"/>
        <rFont val="Calibri"/>
        <family val="2"/>
        <scheme val="minor"/>
      </rPr>
      <t>P35</t>
    </r>
    <r>
      <rPr>
        <b/>
        <sz val="12"/>
        <color theme="1"/>
        <rFont val="Arial"/>
        <family val="2"/>
      </rPr>
      <t>A</t>
    </r>
    <r>
      <rPr>
        <sz val="11"/>
        <color theme="1"/>
        <rFont val="Calibri"/>
        <family val="2"/>
        <scheme val="minor"/>
      </rPr>
      <t xml:space="preserve">- Repairs to mechanical, architectural, and enhancement of indoor air quality. </t>
    </r>
    <r>
      <rPr>
        <b/>
        <sz val="12"/>
        <color theme="1"/>
        <rFont val="Arial"/>
        <family val="2"/>
      </rPr>
      <t>P35B</t>
    </r>
    <r>
      <rPr>
        <sz val="11"/>
        <color theme="1"/>
        <rFont val="Calibri"/>
        <family val="2"/>
        <scheme val="minor"/>
      </rPr>
      <t xml:space="preserve">- Repairs to roofing, mechanical, electrical and architectural finishes. </t>
    </r>
    <r>
      <rPr>
        <b/>
        <sz val="12"/>
        <color theme="1"/>
        <rFont val="Arial"/>
        <family val="2"/>
      </rPr>
      <t>P35C</t>
    </r>
    <r>
      <rPr>
        <sz val="11"/>
        <color theme="1"/>
        <rFont val="Calibri"/>
        <family val="2"/>
        <scheme val="minor"/>
      </rPr>
      <t xml:space="preserve">- Repairs to mechanical systems and inhancement of indoor air quality. </t>
    </r>
    <r>
      <rPr>
        <b/>
        <sz val="12"/>
        <color theme="1"/>
        <rFont val="Arial"/>
        <family val="2"/>
      </rPr>
      <t>P35D</t>
    </r>
    <r>
      <rPr>
        <sz val="11"/>
        <color theme="1"/>
        <rFont val="Calibri"/>
        <family val="2"/>
        <scheme val="minor"/>
      </rPr>
      <t xml:space="preserve">- Repairs of mechanical systems. </t>
    </r>
    <r>
      <rPr>
        <b/>
        <sz val="12"/>
        <color theme="1"/>
        <rFont val="Arial"/>
        <family val="2"/>
      </rPr>
      <t>P35E</t>
    </r>
    <r>
      <rPr>
        <sz val="11"/>
        <color theme="1"/>
        <rFont val="Calibri"/>
        <family val="2"/>
        <scheme val="minor"/>
      </rPr>
      <t xml:space="preserve">- Enhancement of indoor air quality. </t>
    </r>
    <r>
      <rPr>
        <b/>
        <sz val="11"/>
        <color theme="1"/>
        <rFont val="Calibri"/>
        <family val="2"/>
        <scheme val="minor"/>
      </rPr>
      <t>Prom</t>
    </r>
    <r>
      <rPr>
        <sz val="11"/>
        <color theme="1"/>
        <rFont val="Calibri"/>
        <family val="2"/>
        <scheme val="minor"/>
      </rPr>
      <t xml:space="preserve">- Enhancement to indoor air quality and renovate existing vacant officspace into warehouse/training space. </t>
    </r>
    <r>
      <rPr>
        <b/>
        <sz val="11"/>
        <color theme="1"/>
        <rFont val="Calibri"/>
        <family val="2"/>
        <scheme val="minor"/>
      </rPr>
      <t>SRC</t>
    </r>
    <r>
      <rPr>
        <sz val="11"/>
        <color theme="1"/>
        <rFont val="Calibri"/>
        <family val="2"/>
        <scheme val="minor"/>
      </rPr>
      <t xml:space="preserve">- Enhancement of indoor air quality and repairs to MEP systems.   </t>
    </r>
    <r>
      <rPr>
        <b/>
        <sz val="11"/>
        <color theme="1"/>
        <rFont val="Calibri"/>
        <family val="2"/>
        <scheme val="minor"/>
      </rPr>
      <t>WLL</t>
    </r>
    <r>
      <rPr>
        <sz val="11"/>
        <color theme="1"/>
        <rFont val="Calibri"/>
        <family val="2"/>
        <scheme val="minor"/>
      </rPr>
      <t xml:space="preserve">- Repairs to electrical systems and enhancement to indoor air quality.  </t>
    </r>
  </si>
  <si>
    <t>Fire Protection- Various Bldg. Austin TX</t>
  </si>
  <si>
    <t>Repairs/Replacement of fire protection systems to various buildings as determined necessary from assessment.</t>
  </si>
  <si>
    <r>
      <t>Parking Garage Elevator Project, Austin TX 
Parking Garage A (</t>
    </r>
    <r>
      <rPr>
        <b/>
        <sz val="12"/>
        <color theme="1"/>
        <rFont val="Arial"/>
        <family val="2"/>
      </rPr>
      <t>PKA</t>
    </r>
    <r>
      <rPr>
        <sz val="11"/>
        <color theme="1"/>
        <rFont val="Calibri"/>
        <family val="2"/>
        <scheme val="minor"/>
      </rPr>
      <t>) B, F, G, H, J, M, N and P</t>
    </r>
  </si>
  <si>
    <r>
      <t xml:space="preserve">Repair/Replacement of elevators in </t>
    </r>
    <r>
      <rPr>
        <b/>
        <sz val="12"/>
        <color theme="1"/>
        <rFont val="Arial"/>
        <family val="2"/>
      </rPr>
      <t>PKA, PKB, PKF, PKG, PKH, PKJ, PKM, PKN, PKP</t>
    </r>
  </si>
  <si>
    <r>
      <t>Waco Office Bldg. (</t>
    </r>
    <r>
      <rPr>
        <b/>
        <sz val="12"/>
        <color theme="1"/>
        <rFont val="Arial"/>
        <family val="2"/>
      </rPr>
      <t>WAC</t>
    </r>
    <r>
      <rPr>
        <sz val="11"/>
        <color theme="1"/>
        <rFont val="Calibri"/>
        <family val="2"/>
        <scheme val="minor"/>
      </rPr>
      <t>), Waco, TX</t>
    </r>
  </si>
  <si>
    <t>Repairs to chillers.</t>
  </si>
  <si>
    <r>
      <t>GJ Sutton Building (</t>
    </r>
    <r>
      <rPr>
        <b/>
        <sz val="12"/>
        <color theme="1"/>
        <rFont val="Arial"/>
        <family val="2"/>
      </rPr>
      <t>GJS</t>
    </r>
    <r>
      <rPr>
        <sz val="11"/>
        <color theme="1"/>
        <rFont val="Calibri"/>
        <family val="2"/>
        <scheme val="minor"/>
      </rPr>
      <t>), San Antonio TX</t>
    </r>
  </si>
  <si>
    <t>Repairs to MEP systems, fire protection systems, architectural, and security.</t>
  </si>
  <si>
    <r>
      <t>El Paso Office Building (</t>
    </r>
    <r>
      <rPr>
        <b/>
        <sz val="12"/>
        <color theme="1"/>
        <rFont val="Arial"/>
        <family val="2"/>
      </rPr>
      <t>ELP</t>
    </r>
    <r>
      <rPr>
        <sz val="11"/>
        <color theme="1"/>
        <rFont val="Calibri"/>
        <family val="2"/>
        <scheme val="minor"/>
      </rPr>
      <t>), El Paso TX</t>
    </r>
  </si>
  <si>
    <t>Repairs to mechanical, electrical and security systems.</t>
  </si>
  <si>
    <r>
      <t>Elias Ramirez Bldg. (</t>
    </r>
    <r>
      <rPr>
        <b/>
        <sz val="12"/>
        <color theme="1"/>
        <rFont val="Arial"/>
        <family val="2"/>
      </rPr>
      <t>ERB</t>
    </r>
    <r>
      <rPr>
        <sz val="11"/>
        <color theme="1"/>
        <rFont val="Calibri"/>
        <family val="2"/>
        <scheme val="minor"/>
      </rPr>
      <t>), Houston TX</t>
    </r>
  </si>
  <si>
    <t>Repairs to ADA paving, mechanical systems and drainage pipes.</t>
  </si>
  <si>
    <r>
      <t>Fort Worth Office Bldg. (</t>
    </r>
    <r>
      <rPr>
        <b/>
        <sz val="12"/>
        <color theme="1"/>
        <rFont val="Arial"/>
        <family val="2"/>
      </rPr>
      <t>FTW</t>
    </r>
    <r>
      <rPr>
        <sz val="11"/>
        <color theme="1"/>
        <rFont val="Calibri"/>
        <family val="2"/>
        <scheme val="minor"/>
      </rPr>
      <t>), Fort Worth TX</t>
    </r>
  </si>
  <si>
    <t>Repairs to electrical systems and electrical generator.</t>
  </si>
  <si>
    <r>
      <t>Carlos F. Truan Natural Resource Center (</t>
    </r>
    <r>
      <rPr>
        <b/>
        <sz val="12"/>
        <color theme="1"/>
        <rFont val="Arial"/>
        <family val="2"/>
      </rPr>
      <t>TRC</t>
    </r>
    <r>
      <rPr>
        <sz val="11"/>
        <color theme="1"/>
        <rFont val="Calibri"/>
        <family val="2"/>
        <scheme val="minor"/>
      </rPr>
      <t>), Corpus Christi, TX</t>
    </r>
  </si>
  <si>
    <t>Enhancement to indoor air quality, repairs to elevators, mechanical, waterproofing systems.</t>
  </si>
  <si>
    <r>
      <t>Tyler Office Bldg. (</t>
    </r>
    <r>
      <rPr>
        <b/>
        <sz val="12"/>
        <color theme="1"/>
        <rFont val="Arial"/>
        <family val="2"/>
      </rPr>
      <t>TYL</t>
    </r>
    <r>
      <rPr>
        <sz val="11"/>
        <color theme="1"/>
        <rFont val="Calibri"/>
        <family val="2"/>
        <scheme val="minor"/>
      </rPr>
      <t>), Tyler, TX</t>
    </r>
  </si>
  <si>
    <t>Repairs to roofing, plumbing and electrical systems.</t>
  </si>
  <si>
    <r>
      <rPr>
        <b/>
        <sz val="12"/>
        <color theme="1"/>
        <rFont val="Arial"/>
        <family val="2"/>
      </rPr>
      <t>12/15/17</t>
    </r>
    <r>
      <rPr>
        <sz val="11"/>
        <color theme="1"/>
        <rFont val="Calibri"/>
        <family val="2"/>
        <scheme val="minor"/>
      </rPr>
      <t>: Prime Professional Service Provider providing construction management services. Project is in construction phase.</t>
    </r>
  </si>
  <si>
    <r>
      <rPr>
        <b/>
        <sz val="12"/>
        <color theme="1"/>
        <rFont val="Arial"/>
        <family val="2"/>
      </rPr>
      <t>12/15/17</t>
    </r>
    <r>
      <rPr>
        <sz val="11"/>
        <color theme="1"/>
        <rFont val="Calibri"/>
        <family val="2"/>
        <scheme val="minor"/>
      </rPr>
      <t>: Prime Professional Service Provider continues with design services and providing construction management services.. Project is in construction phase.</t>
    </r>
  </si>
  <si>
    <r>
      <rPr>
        <b/>
        <sz val="12"/>
        <color theme="1"/>
        <rFont val="Arial"/>
        <family val="2"/>
      </rPr>
      <t>12/15/17</t>
    </r>
    <r>
      <rPr>
        <sz val="11"/>
        <color theme="1"/>
        <rFont val="Calibri"/>
        <family val="2"/>
        <scheme val="minor"/>
      </rPr>
      <t>: Prime Professional Service Provider continues with design services. During the assessment of the building the professional service  provider identified mechanical systems which are failing and creating potential dangerous conditions in the stairwells. The contractor who is providing pre-construction services has installed fans and dehumidifiers to keep areas safe until systems can me replaced. $1,000,000 was transferred to this project to cover the costs for design and construction of the new mechanical systems.</t>
    </r>
  </si>
  <si>
    <r>
      <rPr>
        <b/>
        <sz val="12"/>
        <color theme="1"/>
        <rFont val="Arial"/>
        <family val="2"/>
      </rPr>
      <t>12/15/17</t>
    </r>
    <r>
      <rPr>
        <sz val="11"/>
        <color theme="1"/>
        <rFont val="Calibri"/>
        <family val="2"/>
        <scheme val="minor"/>
      </rPr>
      <t>: Prime Professional Service Provider continues with design services. Contractor providing pre-construction services.</t>
    </r>
  </si>
  <si>
    <r>
      <t xml:space="preserve">12/15/17: </t>
    </r>
    <r>
      <rPr>
        <sz val="11"/>
        <color theme="1"/>
        <rFont val="Calibri"/>
        <family val="2"/>
        <scheme val="minor"/>
      </rPr>
      <t>Prime Professional Service Provider continues with  design activities. Contractor providing pre-construction services.</t>
    </r>
  </si>
  <si>
    <r>
      <rPr>
        <b/>
        <sz val="12"/>
        <color theme="1"/>
        <rFont val="Arial"/>
        <family val="2"/>
      </rPr>
      <t>12/15/17</t>
    </r>
    <r>
      <rPr>
        <sz val="11"/>
        <color theme="1"/>
        <rFont val="Calibri"/>
        <family val="2"/>
        <scheme val="minor"/>
      </rPr>
      <t>: Project complete.</t>
    </r>
  </si>
  <si>
    <r>
      <t xml:space="preserve">12/15/17 </t>
    </r>
    <r>
      <rPr>
        <sz val="11"/>
        <color theme="1"/>
        <rFont val="Calibri"/>
        <family val="2"/>
        <scheme val="minor"/>
      </rPr>
      <t>Development of Database system where deficiency data will be stored to be completed by the 15th of January 2018.</t>
    </r>
  </si>
  <si>
    <r>
      <t xml:space="preserve">12/15/17: </t>
    </r>
    <r>
      <rPr>
        <sz val="11"/>
        <color theme="1"/>
        <rFont val="Calibri"/>
        <family val="2"/>
        <scheme val="minor"/>
      </rPr>
      <t>Prime Professional Service Provider has completed assessment and has started on design activities. Contractor providing pre-construction services.</t>
    </r>
  </si>
  <si>
    <r>
      <rPr>
        <b/>
        <sz val="12"/>
        <color theme="1"/>
        <rFont val="Arial"/>
        <family val="2"/>
      </rPr>
      <t>12/15/17:</t>
    </r>
    <r>
      <rPr>
        <sz val="11"/>
        <color theme="1"/>
        <rFont val="Calibri"/>
        <family val="2"/>
        <scheme val="minor"/>
      </rPr>
      <t xml:space="preserve"> Prime Professional continues assessing existing buildings.  Contractor is providing pre-construction services.</t>
    </r>
  </si>
  <si>
    <r>
      <rPr>
        <b/>
        <sz val="12"/>
        <color theme="1"/>
        <rFont val="Arial"/>
        <family val="2"/>
      </rPr>
      <t>12/15/17:</t>
    </r>
    <r>
      <rPr>
        <sz val="11"/>
        <color theme="1"/>
        <rFont val="Calibri"/>
        <family val="2"/>
        <scheme val="minor"/>
      </rPr>
      <t xml:space="preserve"> Prime Professional Service Provider working on early design activities.  Contractor providing pre-construction services.</t>
    </r>
  </si>
  <si>
    <r>
      <t xml:space="preserve">12/15/17: </t>
    </r>
    <r>
      <rPr>
        <sz val="11"/>
        <color theme="1"/>
        <rFont val="Calibri"/>
        <family val="2"/>
        <scheme val="minor"/>
      </rPr>
      <t>Project complete.</t>
    </r>
  </si>
  <si>
    <r>
      <t xml:space="preserve">12/15/17: </t>
    </r>
    <r>
      <rPr>
        <sz val="11"/>
        <color theme="1"/>
        <rFont val="Calibri"/>
        <family val="2"/>
        <scheme val="minor"/>
      </rPr>
      <t>During a preliminary assessment of the facility it was determined that the deficiencies identified on the legeslative appropriations request had been addressed and only a very small portion of work remained. Remaining funds of $908,523 were transferred to the WPH building.</t>
    </r>
  </si>
  <si>
    <r>
      <t xml:space="preserve">12/15/17: </t>
    </r>
    <r>
      <rPr>
        <sz val="11"/>
        <color theme="1"/>
        <rFont val="Calibri"/>
        <family val="2"/>
        <scheme val="minor"/>
      </rPr>
      <t>During a preliminary assessment of the facility it was determined that the deficiencies identified on the legeslative appropriations request had been addressed. A total of $91,477 was transferred to thw WPH building to assist with the additional scope of work identified to need critical replacment. Remaining funds of $214,708 will be transferred to another project.</t>
    </r>
  </si>
  <si>
    <t>Texas Military Department - Agency 401</t>
  </si>
  <si>
    <t xml:space="preserve">Supplemental Information  </t>
  </si>
  <si>
    <t>Total Estimated Project Budget</t>
  </si>
  <si>
    <t>Federal Share</t>
  </si>
  <si>
    <r>
      <t xml:space="preserve">Federal Share Encumbered / </t>
    </r>
    <r>
      <rPr>
        <b/>
        <i/>
        <sz val="12"/>
        <color theme="1"/>
        <rFont val="Arial"/>
        <family val="2"/>
      </rPr>
      <t>Estimated</t>
    </r>
  </si>
  <si>
    <t>Federal Share Expended</t>
  </si>
  <si>
    <t>Remaining Federal  Share</t>
  </si>
  <si>
    <t>Comments</t>
  </si>
  <si>
    <t>Westheimer Readiness Center, 15150 Westheimer Parkway, Houston 77082</t>
  </si>
  <si>
    <t>Project in Construction</t>
  </si>
  <si>
    <t>Pasadina Readiness Center,  2917 San Augustine Avenue, Pasadina 77503</t>
  </si>
  <si>
    <t>San Marcos Readiness Center, 201 City Park, San Marcos 78666</t>
  </si>
  <si>
    <t>Grand Prairie, 1013 Lake Crest Drive, Grand Prairie 75051</t>
  </si>
  <si>
    <t>Fairview Readiness Center, 4601 Fairview Drive, Austin 78731</t>
  </si>
  <si>
    <t xml:space="preserve">Current Estimated Project Budget
</t>
  </si>
  <si>
    <t>The project will repair 69,029 sf of Readiness Center space to include compliance with ADA, ATFP, and current building code. General facility repairs to include: interior surfaces, mechanical and electrical systems, restrooms, and kitchen.</t>
  </si>
  <si>
    <t>General Revenue 25%, 
Federal Funds 75%</t>
  </si>
  <si>
    <t>yes</t>
  </si>
  <si>
    <t xml:space="preserve">The project will repair an existing 19,064 sf Readiness Center to include compliance with ADA, ATFP, and current building code. General facility repairs to include: interior surfaces, mechanical and electrical systems, restrooms, and kitchen.  </t>
  </si>
  <si>
    <t>General Revenue 50%, Federal Funds 50%</t>
  </si>
  <si>
    <t xml:space="preserve">The project will repair an existing 10,776 sf Readiness Center to include compliance with ADA, ATFP, and current building code. General facility repairs to include: interior surfaces, mechanical and electrical systems, restrooms, and kitchen.  </t>
  </si>
  <si>
    <t xml:space="preserve">The project will repair 60,943 sf of Readiness Center space to include compliance with ADA, ATFP, and current building code. General facility repairs to include: interior surfaces, mechanical and electrical systems, restrooms, and kitchen.  </t>
  </si>
  <si>
    <t xml:space="preserve">The project will repair an existing 50,603 sf Readiness Center to include compliance with ADA, ATFP, and current building code. General facility repairs to include: interior surfaces, mechanical and electrical systems, restrooms, and kitchen.  </t>
  </si>
  <si>
    <t>General Revenue 25%, Federal Funds 75%</t>
  </si>
  <si>
    <t>Camp Mabry Readiness Center (Bldg 75), 2200 West 35th Street, Austin, 78703</t>
  </si>
  <si>
    <t xml:space="preserve">The project will repair an existing 72,358 sf Readiness Center to include compliance with ADA, ATFP, and current building code. General facility repairs to include: interior surfaces, mechanical and electrical systems, restrooms, and kitchen.  </t>
  </si>
  <si>
    <t>El Paso Hondo Pass Readiness Center, 9100 Gateway North, El Paso 79924</t>
  </si>
  <si>
    <t xml:space="preserve">The project will repair an existing 44,555 sf Readiness Center to include compliance with ADA, ATFP, and current building code. General facility repairs to include: interior surfaces, mechanical and electrical systems, restrooms, and kitchen.  </t>
  </si>
  <si>
    <t>Temple Readiness Center, 8502 Airport Road. Temple 76502</t>
  </si>
  <si>
    <t xml:space="preserve">The project will repair an existing 46,058 sf Readiness Center to include compliance with ADA, ATFP, and current building code. General facility repairs to include: interior surfaces, mechanical and electrical systems, restrooms, and kitchen.  </t>
  </si>
  <si>
    <t>Denison Readiness Center, 1700 Loy Lake, Denison 75020</t>
  </si>
  <si>
    <t xml:space="preserve">The project will repair an existing 18,541 sf Readiness Center to include compliance with ADA, ATFP, and current building code. General facility repairs to include: interior surfaces, mechanical and electrical systems, restrooms, and kitchen.  </t>
  </si>
  <si>
    <t>Texas Parks and  Wildlife Department</t>
  </si>
  <si>
    <t>Infrastructure Division</t>
  </si>
  <si>
    <t xml:space="preserve"> % Design
Completion</t>
  </si>
  <si>
    <t>127490</t>
  </si>
  <si>
    <t>Battleship Texas SHP - Structural Repairs                                                                                                                                              3523 Independence Parkway S LaPorte, TX,77571 (Harris County)</t>
  </si>
  <si>
    <t>Balance of work to repair internal structural elements, identified in an October 2012 scope of work, which is necessary to stabilize the ship . Repairs are critical if the ship remains in a wet berth and would be absolutely necessary if ship is ever placed into a dry berth.</t>
  </si>
  <si>
    <t>5166 - General Revenue Dedicated</t>
  </si>
  <si>
    <t>116818</t>
  </si>
  <si>
    <t>Fort Richardson SHS - Water and Wastewater System Replacement                                                                                                                228 State Park Road 61 Jacksboro, TX 76458 (Jack County)</t>
  </si>
  <si>
    <t>Planning and design costs to replace the 50-year-old wastewater system, water distribution system and the main lift station with modernized and efficient systems capable of saving water resources while servicing the entire park.</t>
  </si>
  <si>
    <t>0</t>
  </si>
  <si>
    <t>116151</t>
  </si>
  <si>
    <t>Seminole Canyon SHS - Camp Loop Upgrades                                                                                                                                  US Hwy 90 W Comstock, TX 78837 (Val Verde County)</t>
  </si>
  <si>
    <r>
      <rPr>
        <sz val="12"/>
        <rFont val="Arial"/>
        <family val="2"/>
      </rPr>
      <t xml:space="preserve">Planning and design costs to upgrade the Desert Vista Camp Loop's utilities, to include replacement and repairs to the On Site Sewage Facility System, water well, storage tank, pumps, and associated appurtenances, accessible restroom </t>
    </r>
    <r>
      <rPr>
        <sz val="12"/>
        <color theme="1"/>
        <rFont val="Arial"/>
        <family val="2"/>
      </rPr>
      <t>upgrades, and electrical service.</t>
    </r>
  </si>
  <si>
    <t>126472</t>
  </si>
  <si>
    <t>Goliad SHS - Wastewater System Upgrade                                                                                                                                               108 Park Rd Goliad, TX 77963-3206 (Goliad County)</t>
  </si>
  <si>
    <t>Planning and design costs to replace obsolete clay wastewater lines and systems, lift station, septic tanks, and drain fields  with a modernized, efficient system capable of servicing the entire site, which includes the Hacienda, Mission workshop, CCC Restroom, Old River Restroom, park headquarters, group dining hall, camp loop, and residence.</t>
  </si>
  <si>
    <t>117535</t>
  </si>
  <si>
    <t>Copper Breaks SP - Water Distribution System Replacement                                                                                                                  777 Park Road 62 Quanah,79252-7679 (Hardman County)</t>
  </si>
  <si>
    <t>Replace a 50-year-old, leaking water distribution system and chlorination station with a modernized and efficient system capable of saving water resources while servicing the entire park.</t>
  </si>
  <si>
    <t>116471</t>
  </si>
  <si>
    <t>Balmorhea SP - CCC Motor Court Renovations, Utility Upgrades and Headquarters Replacement - Planning and Design                                                                                                                                                                        9207 H. 17S Toyahvale, TX (Reeves County)</t>
  </si>
  <si>
    <t xml:space="preserve">Renovate 18 Civilian Conservation Corps (CCC) motel units at the San Solomon Springs Motel Court, to include repairing termite damaged woodwork; upgrade the water and wastewater utilities and campground electrical utility service from 30 amp to 50 amp; renovate camp loop restrooms. </t>
  </si>
  <si>
    <t>117494</t>
  </si>
  <si>
    <t>Pedernales Falls SP - Restroom Replacements                                                                                                                  2585 Park Road 6026 Johnson City, TX 78636 (Blanco County)</t>
  </si>
  <si>
    <t xml:space="preserve">Replace one public restroom complex. Scope of work also includes development of utilities and parking. Structures will be site-built and designed to meet all accessibility, building code, and public health requirements. Building materials to be vandal resistant and assist in facility clean up and longevity.  </t>
  </si>
  <si>
    <t>122865</t>
  </si>
  <si>
    <t>Huntsville SP - CCC Boathouse and Lodge Patio Wall Repairs                                                                                                                565 Park Road 40 W Huntsville, TX 77342-0508 (Walker County)</t>
  </si>
  <si>
    <t>Planning and design costs to renovate Civilian Conservation Corps (CCC) boathouse  to include restoring the exterior hardwood siding, repairing the roof as well as interior and exterior structural damages, and repairing and stabilizing the Lodge's patio wall.</t>
  </si>
  <si>
    <t>116921</t>
  </si>
  <si>
    <t>Palo Duro Canyon SP - Headquarters Replacement                                                                                                                13 Miles E of Canyon at end of Hwy 217 Canyon, TX 79015 (Randall County)</t>
  </si>
  <si>
    <t>Planning and design costs for site headquarters replacement.  Headquarters is currently operating out of an under-sized converted residence and the project would provide an adequately-sized and modern facility to better serve the increasing number of visitors.</t>
  </si>
  <si>
    <t>117504</t>
  </si>
  <si>
    <t>Garner SP - Water System Upgrades                                                                                                                                                            US 83 N Concan, TX 78838 (Uvalde County)</t>
  </si>
  <si>
    <t xml:space="preserve">Preliminary engineering costs to upgrade the park's overall water system, including treatment to reduce water hardness, and replace water distribution lines serving several park facilities in order to reduced system maintenance costs. </t>
  </si>
  <si>
    <t>117536</t>
  </si>
  <si>
    <t>Fairfield Lake SP - Wastewater Treatment Plant Repairs                                                                                                                                                                                         TX 2570 E Fairfield, TX 75840 (Freestone County)</t>
  </si>
  <si>
    <t>Replace the mechanical systems at two existing wastewater treatment plants with modernized and efficient systems that are capable of saving water resources while servicing the entire park.</t>
  </si>
  <si>
    <t>117505</t>
  </si>
  <si>
    <t>Statewide - Unspecified State Park State Park Region 3  Restroom Replacement Program</t>
  </si>
  <si>
    <t xml:space="preserve">Replace three public restroom complexes at Guadalupe State Park camping and day-use areas and one restroom complex at Government Canyon State Natural Area.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</si>
  <si>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126496</t>
  </si>
  <si>
    <t>Tyler SP - Residence Replacements                                                                                                                                               789 Park Rd 16 Tyler, TX 75706-9141 (Smith County)</t>
  </si>
  <si>
    <t>Replace two obsolete staff residences with two adequately-sized, durable, 1,800 square feet, three bedroom / two bath, energy-efficient structures, to include utility connections, parking and associated paving.</t>
  </si>
  <si>
    <t>124729</t>
  </si>
  <si>
    <t>San Jacinto Battleground SHS - Residence Replacements                                                                                                                             3523 Independence Parkway S LaPorte, TX 77571 (Harris County)</t>
  </si>
  <si>
    <t>Planning and design costs to replace two residences and remove from a sensitive archaeological site.</t>
  </si>
  <si>
    <t>127483</t>
  </si>
  <si>
    <t>Lake Tawakoni SP - Residence Replacement                                                                                                                                  10822 FM 2475 Willis Point, TX 75169 (Hunt Van Zandt County)</t>
  </si>
  <si>
    <t>Replace mobile home residence with an adequately-sized, durable, 1,800 square feet, three bedroom / two bath, energy-efficient structure, to include utility connections, parking and associated paving.</t>
  </si>
  <si>
    <t>127358</t>
  </si>
  <si>
    <t>Mission Tejas SHS - Replace Visitor Center                                                                                                                                                                                          120 State Park Rd. 4 Grapeland, TX 75844 (Houston County)</t>
  </si>
  <si>
    <t xml:space="preserve">Replace visitor center that was destroyed by Hurricane Ike.  New facility will include offices, assembly area, visitor check-in area, a new entry road and parking lot, utility extensions, and interpretive displays to educate visitors about the El Camino Real Trail.    </t>
  </si>
  <si>
    <t>117449</t>
  </si>
  <si>
    <t>Fort Leaton SHS - Roof Replacement                                                                                                                                                           FM 170 E Presidio, TX 79845 (Presidio County)</t>
  </si>
  <si>
    <t xml:space="preserve">Replace leaking roof to preserve the historic structure and protect the building and contents from further water damage.  </t>
  </si>
  <si>
    <t>117534</t>
  </si>
  <si>
    <t>Devil's River SP - Septic System Replacement                                                                                                                                           101 N. Sweeten Street Rocksprings, TX 78880 (Edward County)</t>
  </si>
  <si>
    <t xml:space="preserve">Replace multiple obsolete septic systems to meet TCEQ requirements. </t>
  </si>
  <si>
    <t>122405</t>
  </si>
  <si>
    <t>Perry R Bass Marine Research Station - Hatchery Replacement                                                                                                                HC 02, Box 385 FM 3280 Palacios TX 77465 (Matagorda County)</t>
  </si>
  <si>
    <t xml:space="preserve">Planning and design costs for replacement of the under-sized and damaged ponds, hatchery buildings, infrastructure, and jetty pump intake. </t>
  </si>
  <si>
    <t>5166 - General Revenue Dedicated (SWFS)</t>
  </si>
  <si>
    <t>127436</t>
  </si>
  <si>
    <t>Galveston Island SP - Beachside Redevelopment                                                                                                                                                 14901 FM 3005 Galveston, TX 77554 (Galveston County)</t>
  </si>
  <si>
    <t>Design costs to redevelop Galveston Island State Park's beachside in accordance with the GISP Redevelopment Master Plan.  Construction plans include one restroom, one RV dump station, one boardwalk, multiple tent platforms, 30 multiple use campsites with electrical / water service, three group shelters, and 20 day-use picnic shelters.</t>
  </si>
  <si>
    <t>122888</t>
  </si>
  <si>
    <t>Monument Hill/Kreische Brewery SHS - Kreische House and Brewery Renovations                                                                                                                                                         414 State Loop 92 LaGrange, TX 78945 (Fayette County)</t>
  </si>
  <si>
    <t xml:space="preserve">Planning and design costs to renovate the interior and exterior of the historic Kreische House and Brewery to include water damage repairs and renovation of the cedar shake roof, structural elements, woodwork, floors, windows, stone work, finishes, historic furniture, and water diversion landscaping to protect the structures during flooding. </t>
  </si>
  <si>
    <t>125983</t>
  </si>
  <si>
    <t>Sea Center Texas - Pond Electrical System Improvements                                                                                                                      300 Medical Drive Lake Jackson, Texas 77566  (Brazoria County)</t>
  </si>
  <si>
    <t>Upgrade obsolete electrical service systems at 36 ponds with modern and energy-efficient systems that will improve hatchery operations</t>
  </si>
  <si>
    <t>127758</t>
  </si>
  <si>
    <t>Sea Center Texas - Flounder Building                                                                                                                                                                                            300 Medical Drive Lake Jackson, Texas 77566 (Brazoria County)</t>
  </si>
  <si>
    <t xml:space="preserve">Construct new 3000 square foot flounder spawning building. Building will provide additional hatchery floor space for flounder bloodstock and incubation equipment and include a separate room for culture of live feeds. </t>
  </si>
  <si>
    <t>114228</t>
  </si>
  <si>
    <t>Colorado Bend SP - Water Treatment Plant Replacement                                                                                                                                                    10 miles S of Bend on Gravel Rd Bend, TX 76824 (San Saba County)</t>
  </si>
  <si>
    <t xml:space="preserve">Planning and design costs to replace the water treatment plant with a new system to include a storage tank and ground water well. </t>
  </si>
  <si>
    <t>124743</t>
  </si>
  <si>
    <t>Dickinson Marine Lab - New Boat Storage Facility                                                                                                                                     1502 FM 517 E. Dickinson, TX 77539 (Galveston County)</t>
  </si>
  <si>
    <t>Install three metal boat storage buildings (4,960 square foot total) at the south, east and west sides of an existing paved storage area to secure the boats and protect from weather and vandalism.  Storage buildings shall include power and lighting.</t>
  </si>
  <si>
    <t>117507</t>
  </si>
  <si>
    <t>Garner SP - Dining Halls and Barracks Remodel                                                                                                                  US 83 N Concan, TX 78838 (Uvalde County)</t>
  </si>
  <si>
    <t>(Project Postponed) Planning costs to remodel Group Dining Hall at Shady Meadows and Cypress Springs camping areas to include electrical and HVAC system upgrades, kitchen remodels, insulation for walls and ceilings, window and door repairs or replacements, roof and fascia replacement and interior wall and ceiling finish-out.  Remodel Cypress Springs Barracks to include new roofs, electrical upgrades, HVAC installation, door and window repairs and replacements, and interior finish upgrades.  Renovations will enhance visitors' experiences and increase revenue.</t>
  </si>
  <si>
    <t>114243</t>
  </si>
  <si>
    <t>Pedernales Falls SP - Water and Wastewater System Upgrades                                                                                                                                                             2585 Park Road 6026 Johnson City, TX 78636 (Blanco County)</t>
  </si>
  <si>
    <t>Preliminary engineering and design costs to upgrade the obsolete water treatment plant to include four septic fields, drain fields and the water filtration system, in order to save water resources and provide an adequate system capable of saving water resources while better serving park visitors.</t>
  </si>
  <si>
    <t>117260</t>
  </si>
  <si>
    <t>Ray Roberts Lake SP - Johnson Branch Unit Compost Toilet Replacements                                                                                                              100 PW 4137 Pilot Point 765258-8944 (Denton County)</t>
  </si>
  <si>
    <t>Replace seven obsolete compost toilets with modular vault toilets to serve several trail and camping areas and revise any pathways for ADA compliance.</t>
  </si>
  <si>
    <t>127438</t>
  </si>
  <si>
    <t xml:space="preserve">Lake Livingston SP - Marina Area and Fishing Pier Accessibility Upgrades and Repairs                                                                                                                                                                300 State Park Road 65 Livingston, TX 77351 (Polk County)                                                                                                                                                                         </t>
  </si>
  <si>
    <t>Planning and design costs to renovate the Marina Area and Fishing Pier to include: repairs to restrooms, courtesy dock, fueling stations, electrical and lighting systems, and the accessible routes between facilities and parking due to soil subsidence.</t>
  </si>
  <si>
    <t>114238</t>
  </si>
  <si>
    <t>Inks Lake SP - Headquarters Building Replacement - Planning and Design                                                                                                                                       3630 Pk Rd 4 W Burnet, TX 78611 (Burnett County)</t>
  </si>
  <si>
    <t xml:space="preserve">Planning and design costs to replace the under-sized headquarters building with one which includes an adequately-sized lobby and registration area and office, as well as additional restrooms, to meet staff and visitor needs.  Improve traffic flow around the headquarters site. </t>
  </si>
  <si>
    <t>117359</t>
  </si>
  <si>
    <t>McKinney Falls SP - Smith Visitor Center Facility and Exhibit Renovation                                                                                                                              5808 McKinney Falls Austin, TX 78744 (Travis County)</t>
  </si>
  <si>
    <t xml:space="preserve">Renovate the Smith Visitor Center including upgrading a learning center to serve as an interactive classroom with new interpretive exhibits to educate students and park visitors about the El Camino Real Trail. </t>
  </si>
  <si>
    <t>116769</t>
  </si>
  <si>
    <t>Bastrop SP - Dam Replacement                                                                                                                                             100 Park Road 1 A Bastrop, TX 78602 (Bastrop County)</t>
  </si>
  <si>
    <t xml:space="preserve">Planning and design costs to replace the breached dam due to the 2015 memorial day flooding. </t>
  </si>
  <si>
    <t>127360</t>
  </si>
  <si>
    <t>Goliad SHS - Custodian's Cottage Renovation and Adaptive Reuse to Interpretive Facility                                                                                                                                        108 Park Rd Goliad, TX 77963-3206 (Goliad County)</t>
  </si>
  <si>
    <t>Renovate the CCC Custodian's Cottage to convert its use from administrative offices to an adequately-sized interpretive facility which will educate visitors about the El Camino Real Trail.  Renovations will include restoration of formal gardens and a new parking lot.</t>
  </si>
  <si>
    <t>126719</t>
  </si>
  <si>
    <t>Mustang Island SP - Campground and Day-Use Area Restroom Replacements                                                                                                                                                     17047 State Hwy 36 Port Aransas, TX 78373 (Nueces County)</t>
  </si>
  <si>
    <t xml:space="preserve">Replace two obsolete restrooms with one large restroom complex. The scope of work includes a new forty-four fixture count restroom facility, five new host sites, all associated site work, utilities, parking, and the hazmat removal and demolition of the existing restroom. </t>
  </si>
  <si>
    <t>126912</t>
  </si>
  <si>
    <t>Caddo Lake SP - Water System Upgrade                                                                                                                                                                245 Park Rd 2 Karnack, TX (Harrison county)</t>
  </si>
  <si>
    <t>Planning and design costs to upgrade domestic water source to treat for excessive amounts of iron in the water and prevent further damage to plumbing fixtures throughout the park.  Repairs include new storage tanks, pump systems, gas chlorination system, iron removal filter, refurbished hydro pneumatic tank, electrical improvements, and a pump house.</t>
  </si>
  <si>
    <t>117106</t>
  </si>
  <si>
    <t>Indian Lodge - Exterior Plaster and HVAC Replacement                                                                                                                TX Hwy 118 N, Park Rd 3 Fort Davis, TX 79734 (Jeff Davis County)</t>
  </si>
  <si>
    <t xml:space="preserve">Renovate the historic facility to include exterior plaster repairs and replace obsolete HVAC units with energy-efficient systems.  </t>
  </si>
  <si>
    <t>NA</t>
  </si>
  <si>
    <t>Statewide - Unspecified State Park Boat Ramp Repairs - Statewide</t>
  </si>
  <si>
    <t xml:space="preserve">Repair boat ramp which may include accessibility upgrades, courtesy docks, piers and renovation of existing facilities. </t>
  </si>
  <si>
    <t>117503</t>
  </si>
  <si>
    <t>Inks Lake SP - Multiple Restroom Replacements                                                                                                                                          3630 Pk Rd 4 W Burnet, TX 78611 (Burnett County)</t>
  </si>
  <si>
    <t xml:space="preserve">Replace four public restroom complexes. Scope of work also includes development of utilities and parking.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</si>
  <si>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117495</t>
  </si>
  <si>
    <t>Albert and Bessie Kronkosky SNA - Public Use Development - Planning and Design                                                                                                                                                                                                                                                                                                                                                                                7690 Hwy 46 West Pipe Creek, TX 78063 (Bandera County)</t>
  </si>
  <si>
    <t>Advance planning costs to develop newly acquired site and install infrastructure, including utilities, parking, roadways, restrooms, toilets, and a fee collection booth at headquarters.  Site development would allow public access and would meet public use needs as required by the land use agreement, which would generate revenue and provide significant outdoor opportunities.</t>
  </si>
  <si>
    <t>127510</t>
  </si>
  <si>
    <t>Stephen F Austin SHS - Wastewater Treatment Plant Equalization Basin Installation                                                                                                                                                                                                                                                                                                                                                                                    3 miles E of Sealy on IH 10 San Felipe, TX 77473-0125 (Austin County)</t>
  </si>
  <si>
    <t xml:space="preserve">Planning and design costs to install equalization basin at wastewater treatment plant in order to provide adequate pace flow into the plant during peak usage. </t>
  </si>
  <si>
    <t>122081</t>
  </si>
  <si>
    <t>CCA Marine Development Center - Fish America Spawning Building and Ozone Water Purification System Replacement                                                                                                                                                                               4300 Waldron Road Corpus Christi, TX 78418 (Nueces County)</t>
  </si>
  <si>
    <t>Replace the under-sized, 30-year-old, Fish America spawning building with a new 4,000 square foot spawning building at the same location that will withstand the coastal elements.  Building will include staff offices and research space and a new ozone water purification system to replace the existing non-functioning ozone system.</t>
  </si>
  <si>
    <t>115922</t>
  </si>
  <si>
    <t>Abilene SP - Swimming Pool and CCC Bathhouse Repairs                                                                                                                              FM 89, 150 Park Rd 32 Tuscola, TX 79562 (Taylor County)</t>
  </si>
  <si>
    <t>(Project Postponed) Planning and design costs to repair and renovate the swimming pool and CCC bathhouse.</t>
  </si>
  <si>
    <t>114144</t>
  </si>
  <si>
    <t>Austin Headquarters Complex - HVAC Control System Replacement                                                                                                                                         4200 Smith School Road Austin, TX 78744 (Travis County)</t>
  </si>
  <si>
    <t>Replace the existing climate control system at Austin Headquarters Complex with an updated HVAC Management System which is supported by current industry vendors and allows for remote adjustments by the energy performance contractor.</t>
  </si>
  <si>
    <t>114906</t>
  </si>
  <si>
    <t>Austin Headquarters Complex - Heating Ventilation Air-Conditioning (HVAC) Units Replacement                                                                                                                                                                                                                                                                                                                                                   4200 Smith School Road Austin, TX 78744 (Travis County)</t>
  </si>
  <si>
    <t>(Project Cancelled) Replace two deteriorating, independent Liebert HVAC units in the Computer Room that houses the server at the TPWD Austin Headquarters Complex.</t>
  </si>
  <si>
    <t>117417</t>
  </si>
  <si>
    <t>Austin Headquarters Complex - Fire Escape and Storage Building                                                                                                                                                                                                                                                                                                                                                                                                                     4200 Smith School Road Austin, TX 78744 (Travis County)</t>
  </si>
  <si>
    <t xml:space="preserve">Construct a Building D exterior stairway and fire escape as a secondary egress for safety purposes.  Build a storage building on Building D rooftop to  store tools, equipment, and materials used to service the rooftop equipment. </t>
  </si>
  <si>
    <t>Statewide - Unspecified State Park2015 Flood Damage Repairs</t>
  </si>
  <si>
    <t xml:space="preserve">Funding reserved to address statewide 2015 flood damages. A comprehensive damage assessment has not yet been completed due to high-water levels and site inaccessibility. </t>
  </si>
  <si>
    <t>128233</t>
  </si>
  <si>
    <t>Stephen F Austin SHS - Water Tank Repairs                                                                                                                                                                                                  3 miles E of Sealy on IH 10 San Felipe, TX 77473-0125 (Austin County)</t>
  </si>
  <si>
    <t xml:space="preserve">Pressure wash and repaint elevated water tank per TCEQ regulations. </t>
  </si>
  <si>
    <t>124545</t>
  </si>
  <si>
    <t>Huntsville SP - Dam Repair                                                                                                                                                                                              565 Park Road 40 W Huntsville, TX 77342-0508 (Walker County)</t>
  </si>
  <si>
    <t xml:space="preserve">Fortify and repair the earthen embankment and spillway. </t>
  </si>
  <si>
    <t>132907</t>
  </si>
  <si>
    <t>Bastrop SP - Group Barracks Complex Renovation                                                                                                                  100 Park road 1 A Bastrop, TX 78602 (Bastrop County)</t>
  </si>
  <si>
    <t>Renovate the Group Barracks Complex, which includes four dormitory buildings and one group dinning hall. The existing obsolete restroom will be demolished; restroom/shower facilities will be added to each dormitory facility. The renovations include updating of all mechanicals, plumbing, electrical, and site modifications to become code compliant and improve visitor experience.</t>
  </si>
  <si>
    <t>125986</t>
  </si>
  <si>
    <t xml:space="preserve">Port Isabel Lighthouse - Light house repairs; replace corroded metal                                                                                                                                421 East Queen Isabella Blvd Port Isabel, TX 78578 (Cameron County) </t>
  </si>
  <si>
    <t>Repair and/or replace corroded exterior metal components on the Port Isabel Lighthouse at the Watch room and Lantern Levels and repaint lighthouse exterior.</t>
  </si>
  <si>
    <t>137824</t>
  </si>
  <si>
    <t>Longhorn Caverns - Communications System and Surge Protection                                                                                                                                              6211 Park Rd 4 So. Burnet, TX 78611 (Burnet County)</t>
  </si>
  <si>
    <t>Install communication system for the cavern to protect the public in the event of an emergency.</t>
  </si>
  <si>
    <t>134232</t>
  </si>
  <si>
    <t>Hill Country SNA - Replace Well at Group Lodge                                                                                                            10600 Bandera Creed Rd Bandera, TX 78003 (Bandera County)</t>
  </si>
  <si>
    <t>Install water system at group lodge to provide potable water to guests.</t>
  </si>
  <si>
    <t>134239</t>
  </si>
  <si>
    <t>Lost Maples SNA - Replace Potable Water Storage Tank                                                                                                                                                                    37221 FM 187 Vanderpool, TX 78885 (Bandera County)</t>
  </si>
  <si>
    <t>Replace deteriorating drinking water storage tank with a new system in order to address a high iron content in the facility's water supply and meet TCEQ regulations.</t>
  </si>
  <si>
    <t>137394</t>
  </si>
  <si>
    <t>McKinney Falls SP - Smith Visitor's Center Flood Damage Repairs                                                                                                                                                           5808 McKinney Falls Austin, TX 78744 (Travis County)</t>
  </si>
  <si>
    <t>Repair all interior finishes, associated mechanical, electrical, and plumbing systems damaged by flood waters.  Reconstruct the interior restroom to meet TDLR standards.</t>
  </si>
  <si>
    <t>136423</t>
  </si>
  <si>
    <t>Davis Mountains SP - Communications Bldg. Repairs                                                                                                                    TX HWY 118 N, Park Rd 3 Fort Davis, TX 79734 (Jeff Davis County)</t>
  </si>
  <si>
    <t>Replace fire damaged radio house with a permanent facility to maintain park radio communications within the park and region.</t>
  </si>
  <si>
    <t>112741</t>
  </si>
  <si>
    <t>Tyler SP - Headquarters Replacement                                                                                                                                       789 Park Rd 16 Tyler, TX 75706-9141 (Smith County)</t>
  </si>
  <si>
    <t>Planning and design cost for replacing the headquarters facility with new, adequately-sized ADA-compliant building, road, parking lot, and entrance.</t>
  </si>
  <si>
    <t>127872</t>
  </si>
  <si>
    <t>Mustang Island SP - Foundation repairs for (2) residences                                                                                                                                                          17047 State Hwy 36 Port Aransas, TX 78373 (Nueces County)</t>
  </si>
  <si>
    <t>Planning and design costs to repair two residences' pilings and beams, which are degraded due to rot.</t>
  </si>
  <si>
    <t>8213</t>
  </si>
  <si>
    <t>Mother Neff SP - CCC Rock Tabernacle Repairs and Stabilization                                                                                                            1680 TX 236 HWY Moody, TX 76557 (Coryell County)</t>
  </si>
  <si>
    <t xml:space="preserve">(Project Postponed) - Stabilization of 4000 sq. ft. CCC built tabernacle. Work includes structural, wood, and masonry repairs, reroofing, and site construction. </t>
  </si>
  <si>
    <t>118540</t>
  </si>
  <si>
    <t>Devil's River SP - New Visitor Check-in Building and Remodel of Existing Lodge.                                                                                                         101 N. Sweeten Street Rocksprings, TX 78880 (Edward County)</t>
  </si>
  <si>
    <t xml:space="preserve">Planning and design costs to develop the newly acquired south unit. </t>
  </si>
  <si>
    <t>126107</t>
  </si>
  <si>
    <t>San Jacinto Battleground SHS - Reflection Pool Structural Assessment                                                                                                                                                     3523 Independence Parkway S LaPorte, TX 77571 (Harris County)</t>
  </si>
  <si>
    <t xml:space="preserve">Professional engineering report and assessment for stabilizing and repairing the retaining walls around the reflecting pool. </t>
  </si>
  <si>
    <t>124932</t>
  </si>
  <si>
    <t>Sea Center Texas - Fence Replacement                                                                                                                                                     300 Medical Drive Lake Jackson, TX 77566  (Brazoria County)</t>
  </si>
  <si>
    <t>Replace three miles of perimeter fencing in and around the facility with high game fence and an entry fence in order to protect the hatchery from wildlife intrusion.</t>
  </si>
  <si>
    <t>192540</t>
  </si>
  <si>
    <t>Buescher State Park - Erosion mitigation and habitat stabilization (Flood Repair)                                                                                                                 100 Park road 1 A Bastrop, TX 78602 (Bastrop County)</t>
  </si>
  <si>
    <t xml:space="preserve">Stabilize the soil and mitigate erosion caused by flooding. </t>
  </si>
  <si>
    <t>125873</t>
  </si>
  <si>
    <t>Dickinson Marine Lab - Roof Replacement                                                                                                                                     1502 FM 517 E. Dickinson, TX 77539 (Galveston County)</t>
  </si>
  <si>
    <t>Replace deteriorated office building roof.</t>
  </si>
  <si>
    <t>128535</t>
  </si>
  <si>
    <t xml:space="preserve">CCA Marine Development Center - Repairs to Ponds 1-10 Harvest Kettles                                                                                                                                                                                                                                                                                                                                                                                                                                                                       4300 Waldron Road Corpus Christi, TX 78418 (Nueces County)  </t>
  </si>
  <si>
    <t>Repair damaged concrete harvest kettles at Ponds 1-10. These ten ponds are original to the site and are in a stage of decay.  Repairs would include structural concrete work and efforts to minimize existing leaks.</t>
  </si>
  <si>
    <t>115897</t>
  </si>
  <si>
    <t>Palo Duro Canyon SP - Repairs to Juniper Camp Loop                                         13 Miles E of Canyon at end of Hwy 217 Canyon, TX 79015 (Randall County)</t>
  </si>
  <si>
    <t>Repairs to existing facilities and address storm water drainage issues around the buildings.</t>
  </si>
  <si>
    <t>115900</t>
  </si>
  <si>
    <t>Caddo Lake SP - Restroom Replacement                                                      245 Park Rd 2 Karnack, TX (Harrison county)</t>
  </si>
  <si>
    <t>117585</t>
  </si>
  <si>
    <t>Statewide - Unspecified Radio Tower Assessments</t>
  </si>
  <si>
    <t>Perform repairs on the 35 remotely-located, active TPWD radio tower sites, towers, and building structures supporting the radio equipment.  Repairs will maintain Federal Communications Commission compliance and will meet obligations to maintain the towers and sites as part of lease agreements.</t>
  </si>
  <si>
    <t>118669</t>
  </si>
  <si>
    <t>Austin Headquarters Complex - Multiple HVAC System Upgrades                         4200 Smith School Road Austin, TX 78744 (Travis County)</t>
  </si>
  <si>
    <t>Planning and design costs to upgrade and/or replace aging HVAC system(s) at the Austin HQ facilities.</t>
  </si>
  <si>
    <t>127570</t>
  </si>
  <si>
    <t>Brownsville Field Station - Replace Storage Building                                         95 Fish Hatchery Road, Brownsville, TX 78520 (Cameron County)</t>
  </si>
  <si>
    <t>Construct Building addition to the Main Boat and Truck storage facility</t>
  </si>
  <si>
    <t>128106</t>
  </si>
  <si>
    <t>Palmetto SP - Group Camp Area Erosion Control                                                78 Park Road 11 South Gonzales, TX 78629 (Gonzalez County)</t>
  </si>
  <si>
    <t>Planning and assessment of riverbank erosion and stabilization recommendation and repairs  below the Group Camp Area</t>
  </si>
  <si>
    <t>128197</t>
  </si>
  <si>
    <t>Galveston Island SP - Repair Historical Residences                                             14901 FM 3005 Galveston, TX 77554 (Galveston County)</t>
  </si>
  <si>
    <t xml:space="preserve">Repairs and upgrades to the historic Stewart House and Ranch House. </t>
  </si>
  <si>
    <t>132416</t>
  </si>
  <si>
    <t>Hill Country SNA - Water System Replacement and Distribution                         10600 Bandera Creed Rd Bandera, TX 78003 (Bandera County)</t>
  </si>
  <si>
    <t>Replace existing water facilities with a new water distribution network.  Add a water treatment system to the main existing well, creating a Public Water System.</t>
  </si>
  <si>
    <t>134236</t>
  </si>
  <si>
    <t>Garner SP - Wastewater Treatment Plant Replacement                                   US 83 N Concan, TX 78838 (Uvalde County)</t>
  </si>
  <si>
    <t>Replace the undersized, leaking wastewater treatment plant with a modernized and efficient system.</t>
  </si>
  <si>
    <t>137357</t>
  </si>
  <si>
    <t>Balmorhea SP - Repair Motel Roofs and Replace Laundry Facility                         9207 H. 17S Toyahvale, TX (Reeves County)</t>
  </si>
  <si>
    <t>Replace the CCC motel building's damaged clay tile roof, and repair critical structural, mechanical, electrical and plumbing systems concealed in the attic space.</t>
  </si>
  <si>
    <t>32-A</t>
  </si>
  <si>
    <t>118102</t>
  </si>
  <si>
    <t>Bastrop SP - Shore Stabilization                                                                                                                                           100 Park Road 1 A Bastrop, TX 78602 (Bastrop County)</t>
  </si>
  <si>
    <t xml:space="preserve">Stabilization of shoreline adjacent to Cabins #1 and #12. </t>
  </si>
  <si>
    <t>37-A</t>
  </si>
  <si>
    <t>115356</t>
  </si>
  <si>
    <t>Choke Canyon State Park (South Shore Unit) - Boat Ramp                                                                                                                                    358 Recreation Rd 8  Calliham, TX 78007 (Live Oak County)</t>
  </si>
  <si>
    <t>Repair boat ramp which may include accessibility upgrades, courtesy docks, piers and renovation of existing facilities.</t>
  </si>
  <si>
    <t>37-B</t>
  </si>
  <si>
    <t>115389</t>
  </si>
  <si>
    <t>Fort Parker State Park - Boat Ramp                                                                                                                                       194 Park Rd 28 Mexia, Tx 76667 (Limestone County)</t>
  </si>
  <si>
    <t>37-C</t>
  </si>
  <si>
    <t>116036</t>
  </si>
  <si>
    <t>Inks Lake State Park - Boat Ramp                                                                                                                                       3630 Pk Rd 4 W Burnet, TX 78611 (Burnett County)</t>
  </si>
  <si>
    <t>Planning and design costs to repair boat ramp which may include accessibility upgrades, courtesy docks, piers and renovation of existing facilities.</t>
  </si>
  <si>
    <t>37-D</t>
  </si>
  <si>
    <t>117036</t>
  </si>
  <si>
    <t>Ray Roberts Lake SP - Isle du Bois Unit  - Boat Ramp                                                                                                              100 PW 4137 Pilot Point 765258-8944 (Denton County)</t>
  </si>
  <si>
    <t xml:space="preserve">46-A </t>
  </si>
  <si>
    <t>136507</t>
  </si>
  <si>
    <t>Bastrop SP - Boundary Fence Replacement - Flood Recovery                                                                                                                                                                                                                                                                                                                                                                                                                                                    130 HWY 21E Bastrop, TX 78602-0518 (Bastrop County)</t>
  </si>
  <si>
    <t xml:space="preserve">Replace approximately 27 miles of a four-strand barbed wire boundary fence and cedar and metal posts around Bastrop State Park and Park Road 1C, which sustained sufficient fire damage in 2011.   </t>
  </si>
  <si>
    <t>46-B</t>
  </si>
  <si>
    <t>118450</t>
  </si>
  <si>
    <t>Buescher SP - Boundary Fence Replacement - Fire Recovery                                                                                                                                                                                                                                                                                                                                                                                                                                                         100 Park Road 1E Smithville, TX 78957-0075 (Bastrop County)</t>
  </si>
  <si>
    <t xml:space="preserve">Replace approximately 7.5 miles of boundary fence around Buescher State Park and along Park Road 1-C, a majority of which sustained significant damage or was totally destroyed in a wildfire that began mid October 2015.  </t>
  </si>
  <si>
    <t>46-C</t>
  </si>
  <si>
    <t>190059</t>
  </si>
  <si>
    <t>Cedar Hill SP - State Park Managed Repairs - Flood Recovery                                                                                                                                                                                                                                                                                                                                                                                                                                                           1570 FM 1382 Cedar Hill, TX 75104 (Dallas County)</t>
  </si>
  <si>
    <t xml:space="preserve">Parks temporary repairs for; tree removal, temporary repairs to damaged comfort stations (6 ea), utility repairs for comfort station operations, rinse and clean showers and minor site work around structures. </t>
  </si>
  <si>
    <t>46-D</t>
  </si>
  <si>
    <t>128269</t>
  </si>
  <si>
    <t>Cedar Hill SP - Facility Repairs - Flood Recovery                                                                                                                                                                                                                                                                                                                                                                                                                                                                 1570 FM 1382 Cedar Hill, TX 75104 (Dallas County)</t>
  </si>
  <si>
    <t xml:space="preserve">Planning and design costs to repair the Day Use Swim Beach, replacement of multiple restrooms, a pavilion and overall shoreline reinforcement which were damaged by the multiple flooding events in 2015 and 2016. </t>
  </si>
  <si>
    <t>46-E</t>
  </si>
  <si>
    <t>190061</t>
  </si>
  <si>
    <t>Lake Somerville SP &amp; Trailway- State Park Managed - Flood Recovery                                                                                                                                                                                                                                                                                                                                                                                                                 14222 Park Road 57 Somerville, TX 77879-9713 (Burleson County)</t>
  </si>
  <si>
    <t>Park operations to repair multiple lift station controls; replace park signage, handrails and lighting; repair site paving, erosion and culvert cleaning; dead tree removal; replace campfire rings and tables; restore campsite utility fixtures and pavilion HVAC units.</t>
  </si>
  <si>
    <t>46-F</t>
  </si>
  <si>
    <t>128301</t>
  </si>
  <si>
    <t>Lake Somerville SP - Birch Creek Unit - Facility Repairs - Flood Recovery                                                                                                                                                                                                                                                                                                                                                                                                                                               14222 Park Road 57 Somerville, TX 77879-9713 (Burleson County)</t>
  </si>
  <si>
    <t xml:space="preserve">Planning and design costs to repair facilities in the day use area, the Cedar Elm camping area, the Old Hickory and Bucktail bridge(s) which were damaged by multiple flooding events in 2015 and 2016. </t>
  </si>
  <si>
    <t>46-G</t>
  </si>
  <si>
    <t>128323</t>
  </si>
  <si>
    <t>Lake Somerville SP - Trailway - Bridge Repairs- Flood Recovery                                                                                                                                                                                                                                                                                                                                                                                                                    14222 Park Road 57 Somerville, TX 77879-9713 (Burleson County)</t>
  </si>
  <si>
    <t>Planning and design costs to repair multiple bridges, culverts, and access ways along the Somerville Trailway that were damaged by multiple flooding events in 2015 and 2016.</t>
  </si>
  <si>
    <t>46-H</t>
  </si>
  <si>
    <t>128322</t>
  </si>
  <si>
    <t>Lake Somerville SP - Nails Creek Unit - Facility Repairs - Flood Recovery                                                                                                                                                                                                                                                                                                                                                                                                                        6280 FM 180 Ledbetter, TX 78946-9512 (Lee County)</t>
  </si>
  <si>
    <t xml:space="preserve">Planning and design costs to repair facilities in the day use area, the Cedar Creek camping area, and the Boat Ramp camping area which were damaged by the multiple flooding events in 2015 and 2016. </t>
  </si>
  <si>
    <r>
      <t>46-</t>
    </r>
    <r>
      <rPr>
        <sz val="12"/>
        <color theme="1"/>
        <rFont val="Century Schoolbook"/>
        <family val="1"/>
      </rPr>
      <t>I</t>
    </r>
  </si>
  <si>
    <t>190063</t>
  </si>
  <si>
    <t>Lake Whitney SP - State Park Managed - Flood Recovery                                                                                                                                                                                                                                                                                                                                                                                                                          433 FM 1244 Whitney, TX 76692 (Hill County)</t>
  </si>
  <si>
    <t>Park operations to repair park wide electrical systems, replace fire rings and grills.  General debris cleanup, facilities cleanup, and fish cleaning station repairs.</t>
  </si>
  <si>
    <t>46-J</t>
  </si>
  <si>
    <t>118414</t>
  </si>
  <si>
    <t>Lake Whitney SP - Camp Loop Restroom - Flood Recovery                                                                                                                                                                                                                                                                                                                                                                                                                   433 FM 1244 Whitney, TX 76692 (Hill County)</t>
  </si>
  <si>
    <t>Restore Restroom #5 at Area E's interior finishes and critical structural components prior to re-opening the facility which was damaged in the 2016 Flood.</t>
  </si>
  <si>
    <t>46-K</t>
  </si>
  <si>
    <t>118476</t>
  </si>
  <si>
    <t>Lake Whitney SP - Facilities Repairs - Flood Recovery                                                                                                                                                                                                                                                                                                                                                                                                                                          433 FM 1244 Whitney, TX 76692 (Hill County)</t>
  </si>
  <si>
    <t xml:space="preserve">Planning and design costs to repair multiple facilities throughout the park damaged during multiple 2016 flood events.  Impacted areas include the Towash shelter loop, day use area, the group camp &amp; dinning hall, restroom #3, restroom #4, and parkwide shade shelter replacements. </t>
  </si>
  <si>
    <t>46-L</t>
  </si>
  <si>
    <t>118477</t>
  </si>
  <si>
    <t>Lake Whitney SP - Erosion Repairs - Flood Recovery                                                                                                                                                                                                                                                                                                                                                                                                                                                      433 FM 1244 Whitney, TX 76692 (Hill County)</t>
  </si>
  <si>
    <t xml:space="preserve">Planning and design costs to repair erosion damage, a boat ramp, and address soil stabilization that resulted from the multiple 2016 flood events.  </t>
  </si>
  <si>
    <t>46-M</t>
  </si>
  <si>
    <t>137395</t>
  </si>
  <si>
    <t>McKinney Falls SP - Restroom #4 Upper Falls North - Flood Recovery                                                                                                                                                                                                                                                                                                                                                                                                           5808 McKinney Falls Pkwy Austin, TX 78744 (Travis County)</t>
  </si>
  <si>
    <t>Repair interior and exterior finishes damaged by the flood.  Work will also address major mechanical, electrical and plumbing systems needed to restore full function of the restroom facility.</t>
  </si>
  <si>
    <t>46-N</t>
  </si>
  <si>
    <t>190056</t>
  </si>
  <si>
    <t>Mother Neff SP - Clear Log Jam and Remove Debris - Flood Recovery                                                                                                                                                                                                                                                                                                                                                                                                                                              1680 TX 236 HWY Moody, TX 76557 (Coryell County)</t>
  </si>
  <si>
    <t>Park operations to clear the log jam debris build up at the bridge crossing that is causing major erosion and river flooding of adjacent properties due to the waters diverted from the river banks.</t>
  </si>
  <si>
    <t>46-O</t>
  </si>
  <si>
    <t>190060</t>
  </si>
  <si>
    <t>Ray Roberts Lake SP - Complex Wide- Hazardous Tree Removal - Flood Recovery                                                                                                                                                                                                                                                                                                                                                                                                                        100 PW 4137 Pilot Point, TX 76258-8944 (Denton County)</t>
  </si>
  <si>
    <t>Park operations to remove dead and hazardous trees as a result of the severe flooding in 2015 and 2016</t>
  </si>
  <si>
    <t>46-P</t>
  </si>
  <si>
    <t>128302</t>
  </si>
  <si>
    <t>Ray Roberts Lake SP - Complex Wide- Site Repairs - Flood Recovery                                                                                                                                                                                                                                                                                                                                                                                                                       100 PW 4137 Pilot Point, TX 76258-8944 (Denton County)</t>
  </si>
  <si>
    <t xml:space="preserve">Planning and design costs to repair concrete walks, shoreline stabilization, playground areas, and the green belt trail which was damaged during the multiple flooding events in 2015 and 2016. </t>
  </si>
  <si>
    <t>46-Q</t>
  </si>
  <si>
    <t>190062</t>
  </si>
  <si>
    <t>Stephen F Austin SHS - State Park Managed Repairs - Flood Recovery                                                                                                                                                                                                                                                                                                                                                                                                                                                                                   3 miles E of Sealy on IH 10 San Felipe, TX 77473-0125 (Austin County)</t>
  </si>
  <si>
    <t>Park operations to repair MEP utilities, building and office furnishings; dead tree removal, trail repairs, exhibit replacements, fence line repairs; camp loop pedestal repairs, picnic table replacements, playground repairs and fire ring replacement.</t>
  </si>
  <si>
    <t>46-R</t>
  </si>
  <si>
    <t>128406</t>
  </si>
  <si>
    <t>Stephen F Austin SHS - Facility Repairs - Flood Recovery                                                                                                                                                                                                                                                                                                                                                                                                                                                                                 3 miles E of Sealy on IH 10 San Felipe, TX 77473-0125 (Austin County)</t>
  </si>
  <si>
    <t xml:space="preserve">Planning and design costs to repair mini cabin(s), screen shelter(s), group dining hall(s), staff residences, the Bullinger Creek bunkhouse, the Nature Center, and multiple restrooms that were damaged during the 2016 flood. </t>
  </si>
  <si>
    <t>Texas Department of Public Safety - 0405</t>
  </si>
  <si>
    <t>Updated 12-15-17</t>
  </si>
  <si>
    <t>Tavia Wendlandt</t>
  </si>
  <si>
    <t xml:space="preserve">Current Estimated Project Budget
(for FY 16 1st Qtr.) </t>
  </si>
  <si>
    <t xml:space="preserve">Current Estimated Project Budget
(for FY 16 2nd Qtr.) </t>
  </si>
  <si>
    <t xml:space="preserve">Current Estimated Project Budget
(for FY 16 3rd Qtr.) </t>
  </si>
  <si>
    <t xml:space="preserve">Current Estimated Project Budget
(for FY 16 4th Qtr.) </t>
  </si>
  <si>
    <t xml:space="preserve">Current Estimated Project Budget
(for FY 17 1st Qtr.) </t>
  </si>
  <si>
    <t xml:space="preserve">Current Estimated Project Budget
(for FY 17 2nd Qtr.) </t>
  </si>
  <si>
    <t xml:space="preserve">Current Estimated Project Budget
(for FY 17 3rd Qtr.) </t>
  </si>
  <si>
    <t xml:space="preserve">Current Estimated Project Budget
(for FY 17 4th Qtr.) </t>
  </si>
  <si>
    <t>Current Estimated Project Budget
(FY18 2nd Qtr.)</t>
  </si>
  <si>
    <t>ST-TEMP-62601</t>
  </si>
  <si>
    <t>Statewide
Temporary DM Staff</t>
  </si>
  <si>
    <t>Temporary staff needed to administer DM projects. (estimate two years)</t>
  </si>
  <si>
    <t xml:space="preserve">General Revenue (Fund 0001) </t>
  </si>
  <si>
    <t>Duration of projects</t>
  </si>
  <si>
    <t>3-COR-17-62737</t>
  </si>
  <si>
    <t>Corpus Christi District Office (Reg 3)
DM Multi-system project
1922 S. Padre Island Drive
Corpus Christi, Texas 78416</t>
  </si>
  <si>
    <t>Complete ongoing DM projects (HVAC, Sanitary Sewer, Etc.)</t>
  </si>
  <si>
    <t>6-ANW-17-62738</t>
  </si>
  <si>
    <t>Austin Northwest Area Office (Reg 6)
Roof Replacement
13730 Research Boulevard
Austin, Texas  78750</t>
  </si>
  <si>
    <t>Partial roof replacement (Built up portion only)</t>
  </si>
  <si>
    <t>2-LUF-17-62603</t>
  </si>
  <si>
    <t>Lufkin Lease Refresh - 
Lufkin CID Lease (Reg 2)
2815 John Redditt Dr.
Lufkin, Texas 75904</t>
  </si>
  <si>
    <t>Refurbishment and equipping of a certain leased facility in Lufkin for use by CID as per Rider 63.</t>
  </si>
  <si>
    <t>HQ-C-16-62905</t>
  </si>
  <si>
    <t>Austin HQ (Building C)
Dormitory Renovations Floor 2&amp;3
5805 North Lamar Blvd
Austin, Texas 78752</t>
  </si>
  <si>
    <t>Dormitory floors 2 and 3 are vacant since 2009 due to fire marshal code violations.  Renovations will bring these floors into current building code compliance to allow for additional recruit classes to be held.</t>
  </si>
  <si>
    <t>G.O. Bond savings from 80th Legislative $200M bond package.</t>
  </si>
  <si>
    <t>HQ-CAM-16-62906</t>
  </si>
  <si>
    <t>Austin HQ (Campus)
Dual Power Feed
5805 North Lamar Blvd
Austin, Texas 78752</t>
  </si>
  <si>
    <t>Upgrade existing single power source to the complex.  Austin Energy will provide two separate power grids to provide redundant power back up for the crime lab, data centers and other critical DPS functions.</t>
  </si>
  <si>
    <t>TBD by TFC</t>
  </si>
  <si>
    <t>HQ-A-16-62895</t>
  </si>
  <si>
    <t>Austin HQ (Building A)
Data Center Upgrades
5805 North Lamar Blvd
Austin, Texas 78752</t>
  </si>
  <si>
    <t>Replace existing HVAC, electrical, and fire suppression system, provide redundancy for HVAC/Electrical in the Data Center.</t>
  </si>
  <si>
    <t>Austin Capital Services (Reg 7)
1500 N. Congress
Austin, Texas  78701
Generator Replacement</t>
  </si>
  <si>
    <t>Replace existing ATS and package Generator unit at the Capital Services Building.  (Additional funding needed according to TFC estimates)</t>
  </si>
  <si>
    <t>1-GAR-17-62606</t>
  </si>
  <si>
    <t>Garland Regional Headquarters (Reg 1)
HVAC Replacement
350 West IH-30
Garland, Texas 75043</t>
  </si>
  <si>
    <t xml:space="preserve">Heating Ventilation Air Conditioning (HVAC) System replacement in the Annex Facility </t>
  </si>
  <si>
    <t>1-HUR-17-62607</t>
  </si>
  <si>
    <t>Hurst District Office (Reg 1)
HVAC Replacement
624 NE Loop 820
Hurst, Texas 76053</t>
  </si>
  <si>
    <t>Heating Ventilation Air Conditioning (HVAC) System replacement (includes controls)</t>
  </si>
  <si>
    <t>5-WIC-17-62608</t>
  </si>
  <si>
    <t>Wichita Falls Sub-District Office (Reg 5)
Roof Replacement 
5505 N. Central Expressway
Wichita Falls, Texas 79306</t>
  </si>
  <si>
    <t>Replace Roof of main building - construction phase.  (TFC is engineering roof replacement from Rider 45 DM funds)</t>
  </si>
  <si>
    <t>2-BEU-17-62609</t>
  </si>
  <si>
    <t>Beaumont District Office (Reg 2)
HVAC Replacement
7200 Eastex Freeway
Beaumont, Texas 77708</t>
  </si>
  <si>
    <t>Replacement of Heating Ventilation Air Conditioning (HVAC) Distribution System.</t>
  </si>
  <si>
    <t>3-LAR-17-62610</t>
  </si>
  <si>
    <t>Laredo District Office (Reg 3)
Vacant area refresh
1901 Bob Bullock Loop
Laredo, Texas 78043</t>
  </si>
  <si>
    <t>Vacant lab area - Refresh all deteriorated finishes and systems, lighting, roof, HVAC, and other infrastructure serving that area.</t>
  </si>
  <si>
    <t>5-ABI-17-62611</t>
  </si>
  <si>
    <t>Abilene District Office (Reg 5)
HVAC Replacement 
2720 Industrial Boulevard
Abilene, Texas 79605</t>
  </si>
  <si>
    <t>1-CLE-17-62612</t>
  </si>
  <si>
    <t>Cleburne Area Office (Reg 1)
HVAC Replacement
600 W. Kilpatrick St.
Cleburne, Texas 76031</t>
  </si>
  <si>
    <t>Heating Ventilation Air Conditioning (HVAC) System replacement</t>
  </si>
  <si>
    <t>5-CHI-17-62613</t>
  </si>
  <si>
    <t>Childress Area Office (Reg 5)
HVAC Replacement
1700 Ave. F Northwest
Childress, Texas 79201</t>
  </si>
  <si>
    <t>Replacement of Heating Ventilation Air Conditioning (HVAC) System.</t>
  </si>
  <si>
    <t>2-HGR-17-62614</t>
  </si>
  <si>
    <t>Houston Grant Road Driver License Office (Reg 2)
Drainage Repairs - 
10503 Grant Road
Houston, Texas 77070</t>
  </si>
  <si>
    <t>DL parking lot repairs and drainage deficiencies</t>
  </si>
  <si>
    <t>4-ODE-17-62615</t>
  </si>
  <si>
    <t>Odessa Area Office (Reg 4)
HVAC Replacement
1910 IH-20 West
Odessa, Texas 79762</t>
  </si>
  <si>
    <t>Heating Ventilation Air Conditioning (HVAC) System replacement (includes controls)  (Combined with project 4-ODE-17-62847)  Replacing seven RTUs and 1 exhaust fan on the roof</t>
  </si>
  <si>
    <t>Rolled into priority project 38.  Estimated completion 5/30/17</t>
  </si>
  <si>
    <t>4-GAT-17-62616</t>
  </si>
  <si>
    <t>El Paso Gateway East Driver License Office (Reg 4)
HVAC Replacement
7300 Gateway East
El Paso, Texas 79915</t>
  </si>
  <si>
    <t>HQ-L-16-62617</t>
  </si>
  <si>
    <t>Austin HQ (Building L)
HVAC Replacement
5710 Guadalupe
Austin, Texas 78752</t>
  </si>
  <si>
    <t>Partial RTU replacements - Building L - Fleet Operations</t>
  </si>
  <si>
    <t>HQ-GA-17-62618</t>
  </si>
  <si>
    <t>Austin HQ (Building G Annex)
Chiller/Boiler Replacement
5805 North Lamar Blvd
Austin, Texas 78752</t>
  </si>
  <si>
    <t>Replace chillers/boilers in Building G Annex - Multi-Service Facility</t>
  </si>
  <si>
    <t>HQ-E-17-62619</t>
  </si>
  <si>
    <t>Austin HQ (Building E)
Boiler Replacement
5805 North Lamar Blvd
Austin, Texas 78752</t>
  </si>
  <si>
    <t>Replace boiler in Building E - Law Enforcement Facility</t>
  </si>
  <si>
    <t>HQ-C-17-62620</t>
  </si>
  <si>
    <t>Austin HQ (Building C)
HVAC Replacement
5805 North Lamar Blvd
Austin, Texas 78752</t>
  </si>
  <si>
    <t>Partial HVAC replacement for Building C Training Academy</t>
  </si>
  <si>
    <t>HQ-A-17-62621</t>
  </si>
  <si>
    <t>Austin HQ (Building A)
Roof Replacement
5805 North Lamar Blvd
Austin, Texas 78752</t>
  </si>
  <si>
    <t>Partial roof replacement for Building A</t>
  </si>
  <si>
    <t>HQ-E-17-62622</t>
  </si>
  <si>
    <t>Austin HQ (Building E)
Roof Replacement
5805 North Lamar Blvd
Austin, Texas 78752</t>
  </si>
  <si>
    <t>Partial roof replacement for Building E - Law Enforcement Facility</t>
  </si>
  <si>
    <t>HQ-O-17-62623</t>
  </si>
  <si>
    <t>Austin HQ (Building O)
Sprinkler System
5601 Guadalupe
Austin, Texas 78752</t>
  </si>
  <si>
    <t>Add Sprinklers (Fire Marshal recommendation) - Building O Fleet Operations</t>
  </si>
  <si>
    <t>2-CON-17-62624</t>
  </si>
  <si>
    <t>Conroe District Office (Reg 2)
Ductwork Replacement 
2 Hilbig St.
Conroe, Texas 77301</t>
  </si>
  <si>
    <t>Ductwork replacement-system reviewed and found contaminants and poor IAQ in facility due to condition of ductwork.  Funding request to replace all flex duct and have the hard duct cleaned and sealed.  (Includes office and Motor Vehicle Theft (MVT) Garage</t>
  </si>
  <si>
    <t>1-GAR-17-62625</t>
  </si>
  <si>
    <t>Garland Regional Headquarters (Reg 1)
Site Lighting Replacement
350 West IH-30
Garland, Texas 75043</t>
  </si>
  <si>
    <t>Replace aged site lighting.</t>
  </si>
  <si>
    <t>1-GAR-17-62626</t>
  </si>
  <si>
    <t>Garland Regional Headquarters (Reg 1)
Electrical Replacement
350 West IH-30
Garland, Texas 75043</t>
  </si>
  <si>
    <t>Replace aged electrical system</t>
  </si>
  <si>
    <t>1-GAR-17-62627</t>
  </si>
  <si>
    <t>Garland Regional Headquarters (Reg 1)
Plumbing Replacement
350 West IH-30
Garland, Texas 75043</t>
  </si>
  <si>
    <t>Replace aged plumbing (i.e.:  Natural Gas system, domestic water system and fixtures, etc.)</t>
  </si>
  <si>
    <t>1-GAR-17-62628</t>
  </si>
  <si>
    <t>Garland Regional Headquarters (Reg 1)
Foundation Study
350 West IH-30
Garland, Texas 75043</t>
  </si>
  <si>
    <t>Several signs of stress and settlement is seen throughout the facility, specifically on the Westside of the building. Recommend a professional structural engineering study be conducted for resolution.</t>
  </si>
  <si>
    <t>Project</t>
  </si>
  <si>
    <t>Pierce Sub-District Office (Reg 2)
Foundation Study
19692 US Hwy 59
El Campo, Texas 77437</t>
  </si>
  <si>
    <t>Northwest wall and a part of Northeast wall are showings signs of structural degradation. Recommend professional study.</t>
  </si>
  <si>
    <t>2-BAY-17-62630</t>
  </si>
  <si>
    <t>Baytown Area Office (Reg 2)
Foundation Repairs
5420 Decker Drive
Baytown, Texas 77520</t>
  </si>
  <si>
    <t>Repair foundation / interior finishes</t>
  </si>
  <si>
    <t>5-CHI-17-62631</t>
  </si>
  <si>
    <t xml:space="preserve">Childress Area Office (Reg 5)
Foundation Study
1700 Ave. F Northwest
Childress, Texas 79201
</t>
  </si>
  <si>
    <t xml:space="preserve">The retaining walls are cracking and showing signs of structural problems. Recommend professional study. </t>
  </si>
  <si>
    <t>1-SUL-17-62632</t>
  </si>
  <si>
    <t>Sulphur Springs Area Office (Reg 1)
Foundation Study
1528 E. Shannon Road
Sulphur Springs, Texas 75482</t>
  </si>
  <si>
    <t xml:space="preserve">Settlement cracks in foundation, exterior walls, and interior wall systems.  Recommend a professional structural engineering study be conducted for resolution.  </t>
  </si>
  <si>
    <t>2-CON-17-62633</t>
  </si>
  <si>
    <t>Conroe District Office (Reg 2)
Foundation Study 
804 Interstate 45 South
Conroe, Texas 77304</t>
  </si>
  <si>
    <t>Exterior walls are showing stress and damage at the MVT Garage.  Recommend professional structure analysis to determine condition and repair of exterior wall and implement repairs.</t>
  </si>
  <si>
    <t>HQ-L-17-62634</t>
  </si>
  <si>
    <t>Austin HQ (Building L)
Car Wash Replacement
5710 Guadalupe
Austin, Texas 78752</t>
  </si>
  <si>
    <t>Replace car wash at Fleet Operations - Building L</t>
  </si>
  <si>
    <t>4-ODE-17-62847</t>
  </si>
  <si>
    <t>Odessa Area  Office (Reg 4)
HVAC Replacement
1910 IH-20 West
Odessa, Texas 79762</t>
  </si>
  <si>
    <t>Terminal &amp; Package Units (Building Automation System)  (Combined with project 4-ODE-17-62615)  seven RTUs and 1 exhaust fan on the roof</t>
  </si>
  <si>
    <t>4-ODE-17-62754</t>
  </si>
  <si>
    <t>Odessa Area Office (Reg 4)
Roof Replacement
1910 IH-20 West
Odessa, Texas 79762</t>
  </si>
  <si>
    <t>Roof Coverings/openings-built-up roofing replacement</t>
  </si>
  <si>
    <t>ST-FUEL-16-62739</t>
  </si>
  <si>
    <t>Statewide
Fuel System Maintenance/Removal</t>
  </si>
  <si>
    <t>UST/AST fueling systems repairs/maintenance/removal</t>
  </si>
  <si>
    <t>3/31/18 - Waiting for TCEQ final clearance</t>
  </si>
  <si>
    <t>5-AMA-17-62740</t>
  </si>
  <si>
    <t>Amarillo District Office (Reg 5)
Exterior Door/Window Replacement
4200 Canyon Dr.
Amarillo, Texas 79109</t>
  </si>
  <si>
    <t>Exterior doors replacement/Window replacement</t>
  </si>
  <si>
    <t>6-ADO-17-62741</t>
  </si>
  <si>
    <t>Austin District Office (Reg 6)
HVAC Replacement
9000 IH-35 North
Austin, Texas  78753</t>
  </si>
  <si>
    <t>HVAC controls &amp; instrumentation replacement, distribution systems, Terminal &amp; package units replacement/upgrade (Add BAS as needed), HVAC test and balance</t>
  </si>
  <si>
    <t>6-ADO-17-62742</t>
  </si>
  <si>
    <t>Austin District Office (Reg 6)
Roof Replacement
9000 IH-35 North
Austin, Texas  78753</t>
  </si>
  <si>
    <t>Roof Coverings built-up roofing replacement</t>
  </si>
  <si>
    <t>2-HHQ-17-62743</t>
  </si>
  <si>
    <t>Houston Regional Headquarters (West Road) Crime Lab (Reg 2)
Chiller Replacement
12230 West Road
Jersey Village, Texas 77065</t>
  </si>
  <si>
    <t>Chiller replacement</t>
  </si>
  <si>
    <t>4-SAN-17-62744</t>
  </si>
  <si>
    <t>San Angelo Sub-District Office  (Reg 4)
HVAC Replacement
1600 W. Loop 306
San Angelo, Texas 76903</t>
  </si>
  <si>
    <t>4-SAN-17-62745</t>
  </si>
  <si>
    <t>San Angelo Sub-District Office (Reg 4)
Roof Replacement
1600 W. Loop 306
San Angelo, Texas 76903</t>
  </si>
  <si>
    <t>1-HUR-17-62746</t>
  </si>
  <si>
    <t>Hurst Sub-District Office (Reg 1)
Roof Replacement
624 NE Loop 820
Hurst, Texas 76053</t>
  </si>
  <si>
    <t>Roof Coverings built-up roofing replacement (Including roof openings)</t>
  </si>
  <si>
    <t>3-EAG-17-62747</t>
  </si>
  <si>
    <t>Eagle Pass Area Office (Reg 3)
HVAC Replacement
32 Foster Maldonado Boulevard
Eagle Pass, Texas 78852</t>
  </si>
  <si>
    <t>Terminal &amp; package units replacement/upgrade (Add BAS as needed)</t>
  </si>
  <si>
    <t>3-HAR-17-62748</t>
  </si>
  <si>
    <t>Harlingen Area Office (Reg 3)
Roof Repairs
1630 N. 77 Sunshine Strip
Harlingen, Texas 78550</t>
  </si>
  <si>
    <t>Roof repairs</t>
  </si>
  <si>
    <t>3-BEE-17-62749</t>
  </si>
  <si>
    <t>Beeville Area Office  (Reg 3)
HVAC Replacement
400 S. Hillside Drive
Beeville, Texas 78102</t>
  </si>
  <si>
    <t>3-BEE-17-62750</t>
  </si>
  <si>
    <t>Beeville Area Office (Reg 3)
Roof Repairs
400 S. Hillside Drive
Beeville, Texas 78102</t>
  </si>
  <si>
    <t>4-BIG-17-62751</t>
  </si>
  <si>
    <t>Big Spring Area Office (Reg 4)
HVAC Replacement
5725 W. IH-20
Big Spring, Texas 79720</t>
  </si>
  <si>
    <t>Terminal &amp; package units replacement/upgrade - including split DX (Add BAS as needed)</t>
  </si>
  <si>
    <t>ST-PM-17-62635</t>
  </si>
  <si>
    <t>Statewide
TFC Project Mgmt. Fees</t>
  </si>
  <si>
    <t>TFC Project Management fees.</t>
  </si>
  <si>
    <t>HQ-C-16-62904</t>
  </si>
  <si>
    <t>Austin HQ (Building C)
Boiler Replacement
5805 North Lamar Blvd
Austin, Texas 78752</t>
  </si>
  <si>
    <t>Boiler replacement (two boilers supporting original building)</t>
  </si>
  <si>
    <t>2-BRE-17-62752</t>
  </si>
  <si>
    <t>Brenham Area Office (Reg 2)
HVAC Controls Replacement
975 Hwy 290 West.
Brenham, Texas 77834</t>
  </si>
  <si>
    <t>2-BRE-17-62753</t>
  </si>
  <si>
    <t>Brenham Area Office (Reg 2)
Roof Replacement
975 Hwy 290 West.
Brenham, Texas 77834</t>
  </si>
  <si>
    <t>Roof Coverings built-up roofing replacement and access ladder</t>
  </si>
  <si>
    <t>2-ORA-17-62755</t>
  </si>
  <si>
    <t>Orange Area Office (Reg 2)
Roof Replacement
711 South Hwy 87
Orange, Texas 77630</t>
  </si>
  <si>
    <t>4-OZO-16-62756</t>
  </si>
  <si>
    <t xml:space="preserve">Ozona Area Office (Reg 4)
HVAC Replacement
1503 Monterey St
Ozona, Texas  76943
</t>
  </si>
  <si>
    <t>HVAC controls &amp; instrumentation replacement, distribution systems, Terminal &amp; package units replacement/upgrade (Add BAS as needed), HVAC test and balance (Project was completed from other funding)</t>
  </si>
  <si>
    <t>Project completed in prior fiscal year using other funding.</t>
  </si>
  <si>
    <t>4-Pec-18-62757</t>
  </si>
  <si>
    <t>Pecos Area Office (Reg 4)
HVAC Replacement
148 N. Frontage I-20 West
Pecos, Texas 79772</t>
  </si>
  <si>
    <t>Terminal &amp; package units replacement/upgrade (Add BAS as needed), Distribution systems, controls and instrumentation replacement</t>
  </si>
  <si>
    <t>4-Pec-17-62758</t>
  </si>
  <si>
    <t>Pecos Area Office (Reg 4)
Roof Replacement
148 N. Frontage I-20 West
Pecos, Texas 79772</t>
  </si>
  <si>
    <t>Roof Coverings built-up roofing replacement/roof openings</t>
  </si>
  <si>
    <t>3-UVA-17-62759</t>
  </si>
  <si>
    <t>Uvalde Area Office (Reg 3)
Roof Replacement
2901 E. Main
Uvalde, Texas 78801</t>
  </si>
  <si>
    <t>1-GAR-18-62760</t>
  </si>
  <si>
    <t>Garland Regional Headquarters Site (Reg 1)
Communication &amp; Security
350 West IH-30
Garland, Texas 75043</t>
  </si>
  <si>
    <t>Site Comm &amp; Security (i.e.: fencing, gate access control, etc.).  Project converted to update interior access controls</t>
  </si>
  <si>
    <t>1-GAR-17-62761</t>
  </si>
  <si>
    <t>Garland Regional Headquarters Site (Reg 1)
Landscaping Upgrade
350 West IH-30
Garland, Texas 75043</t>
  </si>
  <si>
    <t>Landscaping (xeriscape) upgrade</t>
  </si>
  <si>
    <t>TBD by TFC after IAC is executed</t>
  </si>
  <si>
    <t>1-GAR-17-62762</t>
  </si>
  <si>
    <t>Garland Regional Headquarters Site (Reg 1)
Parking Lot Replacement
350 West IH-30
Garland, Texas 75043</t>
  </si>
  <si>
    <t>Parking lot/pedestrian paving/driveways replacement</t>
  </si>
  <si>
    <t>1-GAR-17-62763</t>
  </si>
  <si>
    <t>Garland Regional Headquarters Site (Reg 1)
Sanitary Sewer Replacement
350 West IH-30
Garland, Texas 75043</t>
  </si>
  <si>
    <t>Sanitary sewer replacement</t>
  </si>
  <si>
    <t>1-GAR-17-62764</t>
  </si>
  <si>
    <t>Garland Regional Headquarters Site (Reg 1)
Site Development
350 West IH-30
Garland, Texas 75043</t>
  </si>
  <si>
    <t>Site Development (i.e.:  Storm water system, etc.)</t>
  </si>
  <si>
    <t>1-GAR-17-62765</t>
  </si>
  <si>
    <t>Garland Regional Headquarters Site (Reg 1)
Water Supply Upgrade
350 West IH-30
Garland, Texas 75043</t>
  </si>
  <si>
    <t>Water Supply upgrade/replacement</t>
  </si>
  <si>
    <t>2-PIE-18-62766</t>
  </si>
  <si>
    <t>Pierce Sub-District Office (Reg 2)
Ductwork Replacement
19692 US Hwy 59
El Campo, Texas 77437</t>
  </si>
  <si>
    <t>Duct work and insulation replacement</t>
  </si>
  <si>
    <t>2-BRE-17-62767</t>
  </si>
  <si>
    <t>Brenham Area Office (Reg 2)
Exterior Wall Repair
975 Hwy 290 West.
Brenham, Texas 77834</t>
  </si>
  <si>
    <t>Exterior walls repair</t>
  </si>
  <si>
    <t>2-HHQ-17-62768</t>
  </si>
  <si>
    <t>Houston Regional Headquarters (West Road) (Reg 2)
Security System Replacement
12230 West Road
Jersey Village, Texas 77065</t>
  </si>
  <si>
    <t>Security system replacement</t>
  </si>
  <si>
    <t>4-MID-17-62769</t>
  </si>
  <si>
    <t>Midland Sub District Office (Reg 4)
Vacant DL Remodel/Refresh
2405 S. Loop 250 West
Midland, Texas 79703</t>
  </si>
  <si>
    <t>Remodel vacant DL area including to replacing deteriorated finishes and MEP systems</t>
  </si>
  <si>
    <t>5-AMA-18-62770</t>
  </si>
  <si>
    <t>Amarillo District Office (Reg 5)
Security System Replacement
4200 Canyon Dr.
Amarillo, Texas 79109</t>
  </si>
  <si>
    <t>5-AMA-18-62771</t>
  </si>
  <si>
    <t>Amarillo District Office (Reg 5)
Sprinkler System
4200 Canyon Dr.
Amarillo, Texas 79109</t>
  </si>
  <si>
    <t>Sprinkler System</t>
  </si>
  <si>
    <t>8-31-18 - Phased project.  Upon completion of TFC's portion, DPS will begin.</t>
  </si>
  <si>
    <t>5-AMA-18-62772</t>
  </si>
  <si>
    <t>Amarillo District Office (Reg 5)
Foundation Study/Repair
4200 Canyon Dr.
Amarillo, Texas 79109</t>
  </si>
  <si>
    <t>Standard Foundations</t>
  </si>
  <si>
    <t>5-AMA-17-62773</t>
  </si>
  <si>
    <t>Amarillo District Office  (Reg 5)
Interior Finishes Replacement
4200 Canyon Dr.
Amarillo, Texas 79109</t>
  </si>
  <si>
    <t>Ceiling, wall, floor finishes replacement</t>
  </si>
  <si>
    <t>5-AMA-18-62774</t>
  </si>
  <si>
    <t>Amarillo District Office (Reg 5)
Fittings Replacement
4200 Canyon Dr.
Amarillo, Texas 79109</t>
  </si>
  <si>
    <t>Fittings (Specialties) replacement</t>
  </si>
  <si>
    <t>6-ADO-17-62775</t>
  </si>
  <si>
    <t>Austin District Office Site (Reg 6)
Parking Lot Replacement
9000 IH-35 North
Austin, Texas  78753</t>
  </si>
  <si>
    <t>Parking lot replacement</t>
  </si>
  <si>
    <t>6-ADO-17-62776</t>
  </si>
  <si>
    <t>Austin District Office Site (Reg 6)
Site Lighting Replacement/Upgrade
9000 IH-35 North
Austin, Texas  78753</t>
  </si>
  <si>
    <t>Site Lighting</t>
  </si>
  <si>
    <t>6-ADO-18-62777</t>
  </si>
  <si>
    <t>Austin District Office Site (Reg 6)
Communication &amp; Security
9000 IH-35 North
Austin, Texas  78753</t>
  </si>
  <si>
    <t>Site Comm &amp; Security (i.e.: fencing, gate access control, etc.)</t>
  </si>
  <si>
    <t>6-ADO-18-62778</t>
  </si>
  <si>
    <t>Austin District Office Storage Hwy Patrol (Reg 6)
Special Structures
9000 IH-35 North
Austin, Texas  78753</t>
  </si>
  <si>
    <t>Special Structures - Storage Bldg. &lt; 1000sf - Roof replacement, paint/waterproof exterior</t>
  </si>
  <si>
    <t>5-ABI-18-62779</t>
  </si>
  <si>
    <t>Abilene District Office (Reg 5)
Security/Site System Replacement
2720 Industrial Boulevard
Abilene, Texas 79605</t>
  </si>
  <si>
    <t>3-LAR-18-62780</t>
  </si>
  <si>
    <t>Laredo District Office (Reg 3)
Ceiling Replacement
1901 Bob Bullock Loop
Laredo, Texas 78043</t>
  </si>
  <si>
    <t>Ceiling/wall finishes replacement</t>
  </si>
  <si>
    <t>3-LAR-18-62781</t>
  </si>
  <si>
    <t>Laredo District Office (Reg 3)
Security System Replacement
1901 Bob Bullock Loop
Laredo, Texas 78043</t>
  </si>
  <si>
    <t>6-WAC-17-62782</t>
  </si>
  <si>
    <t>Waco District  Office (Reg 6)
Interior Finishes Replacement
1617 E. Crest Dr.
Waco, Texas  76705</t>
  </si>
  <si>
    <t>6-WAC-18-62783</t>
  </si>
  <si>
    <t>Waco District Office (Reg 6)
Fixed Furnishings Replacement
1617 E. Crest Dr.
Waco, Texas  76705</t>
  </si>
  <si>
    <t>Fixed furnishings replacement</t>
  </si>
  <si>
    <t>3-EAG-17-62784</t>
  </si>
  <si>
    <t>Eagle Pass Area Office (Reg 3)
Interior Finishes Replacement
32 Foster Maldonado Boulevard
Eagle Pass, Texas 78852</t>
  </si>
  <si>
    <t>3-EAG-17-62785</t>
  </si>
  <si>
    <t>Eagle Pass Area Office (Reg 3)
Electrical Systems
32 Foster Maldonado Boulevard
Eagle Pass, Texas 78852</t>
  </si>
  <si>
    <t>Other Electrical Systems (Repair illuminated exit signs throughout the facility and add emergency lighting where needed.)</t>
  </si>
  <si>
    <t>3-EAG-18-62786</t>
  </si>
  <si>
    <t>Eagle Pass Area Office (Reg 3)
Security System Replacement
32 Foster Maldonado Boulevard
Eagle Pass, Texas 78852</t>
  </si>
  <si>
    <t>Security system replacement Include gate access control</t>
  </si>
  <si>
    <t>3-EAG-17-62787</t>
  </si>
  <si>
    <t>Eagle Pass Area Office (Reg 3)
Sprinkler System
32 Foster Maldonado Boulevard
Eagle Pass, Texas 78852</t>
  </si>
  <si>
    <t>3-EAG-17-62788</t>
  </si>
  <si>
    <t>Eagle Pass Site (Reg 3)
Communication &amp; Security
32 Foster Maldonado Boulevard
Eagle Pass, Texas 78852</t>
  </si>
  <si>
    <t>Site Comm &amp; Security (i.e.: fencing, etc.)</t>
  </si>
  <si>
    <t>3-EAG-17-62789</t>
  </si>
  <si>
    <t>Eagle Pass Site (Reg 3)
Landscaping Upgrade
32 Foster Maldonado Boulevard
Eagle Pass, Texas 78852</t>
  </si>
  <si>
    <t>3-EAG-17-62790</t>
  </si>
  <si>
    <t>Eagle Pass Site (Reg 3)
Site Lighting Replacement/Upgrade
32 Foster Maldonado Boulevard
Eagle Pass, Texas 78852</t>
  </si>
  <si>
    <t>5-AMA-17-62791</t>
  </si>
  <si>
    <t>Amarillo MVT Building (Reg 5)
Electrical Systems
4200 Canyon Dr.
Amarillo, Texas 79109</t>
  </si>
  <si>
    <t>Other Electrical Systems (Add  illuminated exit signs throughout the facility and add emergency lighting where needed.)</t>
  </si>
  <si>
    <t>5-AMA-18-62792</t>
  </si>
  <si>
    <t>Amarillo Site (Reg 5)
Communication &amp; Security
4200 Canyon Dr.
Amarillo, Texas 79109</t>
  </si>
  <si>
    <t>5-AMA-17-62793</t>
  </si>
  <si>
    <t>Amarillo Site (Reg 5)
Fuel Distribution Replacement
4200 Canyon Dr.
Amarillo, Texas 79109</t>
  </si>
  <si>
    <t>Fuel distribution replacement</t>
  </si>
  <si>
    <t>5-AMA-17-62794</t>
  </si>
  <si>
    <t>Amarillo Site (Reg 5)
Parking Lot/Pedestrian Paving
4200 Canyon Dr.
Amarillo, Texas 79109</t>
  </si>
  <si>
    <t>Parking lot/pedestrian paving replacement</t>
  </si>
  <si>
    <t>5-AMA-18-62795</t>
  </si>
  <si>
    <t>Amarillo Site (Reg 5)
Site Lighting Replacement/Upgrade
4200 Canyon Dr.
Amarillo, Texas 79109</t>
  </si>
  <si>
    <t>HQ-A-17-62796</t>
  </si>
  <si>
    <t>Austin HQ (Building A)
AHU/FCU Replacement
5805 North Lamar Blvd
Austin, Texas 78752</t>
  </si>
  <si>
    <t>HVAC - replace all AHU and FCUs not already in process/completed</t>
  </si>
  <si>
    <t>HQ-A-18-62797</t>
  </si>
  <si>
    <t>Austin HQ (Building A)
DDC Retrofit
5805 North Lamar Blvd
Austin, Texas 78752</t>
  </si>
  <si>
    <t>HVAC - retrofit existing pneumatic controls to DDC</t>
  </si>
  <si>
    <t>2-BRY-17-XXXXX</t>
  </si>
  <si>
    <t>Bryan District Office (Reg 2)
Foundation/Drainage Modifications
2571 North Earl Rudder Freeway
Bryan, Texas 77805</t>
  </si>
  <si>
    <t>Foundation/site drainage modifications</t>
  </si>
  <si>
    <t xml:space="preserve"> TBD by TFC</t>
  </si>
  <si>
    <t>6-WTR-17-XXXX</t>
  </si>
  <si>
    <t>Waco Texas Rangers Headquarters and Education Center (Reg 6)
HVAC Replacement
102 Texas Ranger Trail
Waco, Texas 76705</t>
  </si>
  <si>
    <t>1-TER-17-62917</t>
  </si>
  <si>
    <t>Terrell Area Office (Reg 1)
Drainage Repairs
111 Tejas Drive
Terrell, Texas 75160</t>
  </si>
  <si>
    <t>Site drainage repairs</t>
  </si>
  <si>
    <t>3-EAG-17-62900</t>
  </si>
  <si>
    <t>Eagle Pass Area Office (Reg 3)
Foundation/Drainage Modifications
32 Foster Maldonado Boulevard
Eagle Pass, Texas 78852</t>
  </si>
  <si>
    <t>6-ANW-17-XXXXX</t>
  </si>
  <si>
    <t>Austin Northwest Area Office (Reg 6)
Interior Finish Replacement
13730 Research Boulevard
Austin, Texas  78750</t>
  </si>
  <si>
    <t xml:space="preserve"> 12/7/17</t>
  </si>
  <si>
    <t>HQ-L-17-62903</t>
  </si>
  <si>
    <t>Austin HQ (Building L)
Car Lift Replacement
5710 Guadalupe
Austin, Texas 78752</t>
  </si>
  <si>
    <t>Replace 18 original car lifts that are no longer functioning, leaking hydraulic oil, or not operating effectively.</t>
  </si>
  <si>
    <t>ST-CON-16-62636</t>
  </si>
  <si>
    <t>Statewide
Unexpected DM repairs/Project Contingency</t>
  </si>
  <si>
    <t>Statewide
Unexpected DM repairs/Project Contingency:  Emergency deferred maintenance repairs includes all trades listed above and unforeseen emergency building/infrastructure repairs as necessary for prior biennium and current DM projects.</t>
  </si>
  <si>
    <t>Duration of projects.</t>
  </si>
  <si>
    <t>ST-CONB-17-62894</t>
  </si>
  <si>
    <t>Statewide
Unexpected DM repairs/Project Contingency:  Emergency deferred maintenance repairs includes all trades listed above and unforeseen emergency building/infrastructure repairs as necessary for prior biennium and current DM projects.  May also include any addition project expenses such as TFC fees</t>
  </si>
  <si>
    <t>ST-CON-16-62461</t>
  </si>
  <si>
    <t>Childress Area Office (Reg 5)
Roof Replacement
1700 Ave. F Northwest
Childress, Texas 79201</t>
  </si>
  <si>
    <t>Statewide
Unexpected DM repairs/Project Contingency:  Replace Childress radio shop roof (Roof is leaking and contains asbestos) 3/24/16 - entered req.</t>
  </si>
  <si>
    <t>4-ALP-16-62461</t>
  </si>
  <si>
    <t>Alpine Area Office (Reg 4)
Energy Efficiency Project
3500 North Highway 118
Alpine, Texas 79830</t>
  </si>
  <si>
    <t>Statewide
Unexpected DM repairs/Project Contingency:  Add ceiling insulation to increase energy efficiency to assist HVAC system to better control temperature in open ceiling area.</t>
  </si>
  <si>
    <t>2-Gal-16-62441</t>
  </si>
  <si>
    <t>Galveston Driver License Office (Reg 2)
Replace Failed RTU
6802 Broadway
Galveston, Texas 77554</t>
  </si>
  <si>
    <t>Statewide
Unexpected DM repairs/Project Contingency:  Replace failed 10-ton RTU</t>
  </si>
  <si>
    <t>4-EHQ-16-62441</t>
  </si>
  <si>
    <t>El Paso Regional Headquarters (Reg 4)
RTU Replacement
11612 Scott Simpson
El Paso, Texas 79936</t>
  </si>
  <si>
    <t>Statewide
Unexpected DM repairs/Project Contingency:  Replace failed 2.5 Ton RTU (Commander's area)</t>
  </si>
  <si>
    <t>1-Min-16-62441</t>
  </si>
  <si>
    <t>Mineral Wells Area Office (Reg 1)
RTU Replacement
600 FM 1821 North
Mineral Wells, Texas  76067</t>
  </si>
  <si>
    <t>Statewide
Unexpected DM repairs/Project Contingency:  Replace failed 5 ton RTU.</t>
  </si>
  <si>
    <t>2-BAY-16-62441</t>
  </si>
  <si>
    <t>Baytown Area Office (Reg 2)
RTU Replacement
5420 Decker Drive
Baytown, Texas 77520</t>
  </si>
  <si>
    <t>Statewide
Unexpected DM repairs/Project Contingency:  Replace failed 3 ton RTU</t>
  </si>
  <si>
    <t>HQ-TTC-16-62441</t>
  </si>
  <si>
    <t>Tactical Training Center (HQ)
RTU Replacement
820 CR 240
Florence, Texas 76527</t>
  </si>
  <si>
    <t>Statewide
Unexpected DM repairs/Project Contingency:  Replace failed 2 ton RTU</t>
  </si>
  <si>
    <t>3-DEL-16-62431</t>
  </si>
  <si>
    <t>Del Rio Sub District Office (Reg 3)
Water Heater Replacement
2012 Veteran Boulevard
Del Rio, Texas 78840</t>
  </si>
  <si>
    <t>Statewide
Unexpected DM repairs/Project Contingency:  Replace failed water heater</t>
  </si>
  <si>
    <t>HQ-L-16-62441</t>
  </si>
  <si>
    <t>Austin HQ (Building L)
Shop Heaters Replacement
5710 Guadalupe
Austin, Texas 78752</t>
  </si>
  <si>
    <t>Statewide
Unexpected DM repairs/Project Contingency:  Replace 6 outdated gas fired shop heaters (Labor only) and install 5 natural gas shop heaters.</t>
  </si>
  <si>
    <t>2-ROS-16-62481</t>
  </si>
  <si>
    <t>Rosenberg Area Office (Reg 2)
Water Line Replacement
5505 Avenue N.
Rosenberg, TX 77471-5640</t>
  </si>
  <si>
    <t>Statewide
Unexpected DM repairs/Project Contingency:  Water Line Replacement due to line breakage</t>
  </si>
  <si>
    <t>2-ANG-16-62441</t>
  </si>
  <si>
    <t>Angleton Driver License Office (Reg 2)
RTU Replacement
501 South Velasco
Angleton, Texas 77515</t>
  </si>
  <si>
    <t>1-GCL-16-62441</t>
  </si>
  <si>
    <t>Garland Crime Laboratory (Reg 1)
BTU Boiler Replacement
402 West IH-30
Garland, Texas 75043</t>
  </si>
  <si>
    <t xml:space="preserve">Statewide
Unexpected DM repairs/Project Contingency:  Replace 2 failed BTU boilers and appurtenances </t>
  </si>
  <si>
    <t>3-WES-16-62441</t>
  </si>
  <si>
    <t>Weslaco Regional Headquarters (Reg 3)
VFD Replacement
2525 N. International Blvd
Weslaco, TX 78596</t>
  </si>
  <si>
    <t>Statewide
Unexpected DM repairs/Project Contingency:  Replace failed VFD</t>
  </si>
  <si>
    <t>2-LUF-16-62441</t>
  </si>
  <si>
    <t>Lufkin Sub-District Office (Reg 2)
Replace cooling system
2809 South John Redditt Drive
Lufkin, TX 75904</t>
  </si>
  <si>
    <t>Statewide
Unexpected DM repairs/Project Contingency:  Replace split cooling system with a gas furnace</t>
  </si>
  <si>
    <t>2-BCA-16-62431</t>
  </si>
  <si>
    <t>Bay City Area Office (Reg 2)
510 Avenue F
Bay City, TX 77414</t>
  </si>
  <si>
    <t>Statewide
Unexpected DM repairs/Project Contingency:  Replace failed gas water heater</t>
  </si>
  <si>
    <t>HQ-C-16-62431</t>
  </si>
  <si>
    <t>Austin HQ (Building C&amp;E)
Boiler Replacement
5805 North Lamar Blvd
Austin, Texas 78752</t>
  </si>
  <si>
    <t xml:space="preserve">Statewide
Unexpected DM repairs/Project Contingency:  Replace deteriorated Bldg. C-Annex/ Building E Waterproofing Elev#16. &amp; Bldg. E-Rm. E001. </t>
  </si>
  <si>
    <t>HQ-CA-16-62451</t>
  </si>
  <si>
    <t>Austin HQ (Building C Annex)
Floor Finish Replacement
5805 North Lamar Blvd
Austin, Texas 78752</t>
  </si>
  <si>
    <t>Statewide
Unexpected DM repairs/Project Contingency:  Replace deteriorated Bldg. C-Annex/ Corridor C (basement) Annex Flooring.</t>
  </si>
  <si>
    <t>Austin HQ (Building C Annex)
Wall Finish Replacement
5805 North Lamar Blvd
Austin, Texas 78752</t>
  </si>
  <si>
    <t>Statewide
Unexpected DM repairs/Project Contingency:  Replace deteriorated Bldg. C-Annex/ Corridor C (basement) Annex wall covering.</t>
  </si>
  <si>
    <t>Houston Regional Headquarters (Reg 2)
Chiller Compressor Replacement
12230 West Road
Jersey Village, Texas 77065</t>
  </si>
  <si>
    <t>Statewide
Unexpected DM repairs/Project Contingency: Replace failed refrigerant compressor on Chiller #1, Circuit #2 at Region II HQ facility</t>
  </si>
  <si>
    <t>HQ-CA-16-62421</t>
  </si>
  <si>
    <t>Austin HQ (Complex)
Security Repairs
5805 North Lamar Blvd
Austin, Texas 78752</t>
  </si>
  <si>
    <t>Statewide
Unexpected DM repairs/Project Contingency:  Security System Repairs</t>
  </si>
  <si>
    <t>6-SAN-17-62441</t>
  </si>
  <si>
    <t>San Antonio Regional HQ (Reg 6)
RTU Replacement
6502 South New Braunfels Ave
San Antonio, Texas 78223</t>
  </si>
  <si>
    <t>Statewide
Unexpected DM repairs/Project Contingency:  Replace two failed RTU. (17.5 ton and 5 ton)</t>
  </si>
  <si>
    <t>2-BRY-17-62431</t>
  </si>
  <si>
    <t>Bryan District Office (Reg 2)
Generator Repair
2571 North Earl Rudder Freeway
Bryan, Texas 77805</t>
  </si>
  <si>
    <t>Statewide
Unexpected DM repairs/Project Contingency:  Replace failed water pump and perform annual maintenance.</t>
  </si>
  <si>
    <t>HQ-A-17-62431</t>
  </si>
  <si>
    <t>Austin HQ (Complex)
Generator Repair
5805 North Lamar Blvd
Austin, Texas 78752</t>
  </si>
  <si>
    <t xml:space="preserve">Statewide
Unexpected DM repairs/Project Contingency:  TDEM Generator internal repair. </t>
  </si>
  <si>
    <t>4-BIG-17-62461</t>
  </si>
  <si>
    <t>Big Spring Area Office (Reg 4)
Roof Repair
5725 W. IH-20
Big Spring, Texas 79720</t>
  </si>
  <si>
    <t>Statewide
Unexpected DM repairs/Project Contingency:  Roof repair</t>
  </si>
  <si>
    <t>HQ-U-17-62441</t>
  </si>
  <si>
    <t>Austin HQ (U)
Upgrade DDC
5805 North Lamar Blvd
Austin, Texas 78752</t>
  </si>
  <si>
    <t>Statewide
Unexpected DM repairs/Project Contingency:  Upgrade DDC in Building U and also include exterior lighting controls.</t>
  </si>
  <si>
    <t>6-Wac-17-62910</t>
  </si>
  <si>
    <t>Waco District  Office (Reg 6)
DM Multi-system project
1617 E. Crest Dr.
Waco, Texas  76705</t>
  </si>
  <si>
    <t>Statewide
Unexpected DM repairs/Project Contingency:  Complete ongoing DM projects (HVAC, roof, Electrical, Etc.)</t>
  </si>
  <si>
    <t>4-MID-17-62909</t>
  </si>
  <si>
    <t>Midland Sub District Office (Reg 4)
DM Multi-system project
2405 S. Loop 250 West
Midland, Texas 79703</t>
  </si>
  <si>
    <t>Statewide
Unexpected DM repairs/Project Contingency:  Complete ongoing DM projects (Roof, HVAC, Etc.)</t>
  </si>
  <si>
    <t>HQ-A-17-62481</t>
  </si>
  <si>
    <t>Austin HQ (Complex)
Exterior Lighting Upgrade
5805 North Lamar Blvd
Austin, Texas 78752</t>
  </si>
  <si>
    <t>Statewide
Unexpected DM repairs/Project Contingency: Upgrade lighting fixtures, floodlights, yard lights, at the HQ complex</t>
  </si>
  <si>
    <t>1-SHE-17-62461</t>
  </si>
  <si>
    <t>Sherman Sub district Office (Reg 1)
Roof Replacement
1413 Texoma Parkway
Sherman, Texas  75090</t>
  </si>
  <si>
    <t>Roof Replacement (approx. 5,160 sf - main/storage)</t>
  </si>
  <si>
    <t>Austin HQ (Complex)
Old Dormitory  Lighting Upgrade
5805 North Lamar Blvd
Austin, Texas 78752</t>
  </si>
  <si>
    <t>Statewide Unexpected DM repairs/Project Contingency: Upgrade lighting fixtures in floors 2 and 3 in the old dormitory</t>
  </si>
  <si>
    <t>2-CON-17-62913</t>
  </si>
  <si>
    <t>Brenham Area Office (Reg 2)
Site Work Upgrade
975 Hwy 290 West.
Brenham, Texas 77834</t>
  </si>
  <si>
    <t>Repair drainage issues that is causing flooding into the building.</t>
  </si>
  <si>
    <t>1-IRV-17-62461</t>
  </si>
  <si>
    <t xml:space="preserve">Irving Waiver Facility (Reg 1)
1613 W Irving Blvd
Irving, Texas </t>
  </si>
  <si>
    <t xml:space="preserve">Metal Roof Repair </t>
  </si>
  <si>
    <t>3-COR-17-62421</t>
  </si>
  <si>
    <t>Corpus Christi District Office (Reg 3)
Access Control System Upgrade
1922 S. Padre Island Drive
Corpus Christi, Texas 78416</t>
  </si>
  <si>
    <t>Statewide Unexpected DM repairs/Project Contingency: Upgrade Access Control system for the District Office</t>
  </si>
  <si>
    <t>1-FTW-17-62481</t>
  </si>
  <si>
    <t xml:space="preserve">Fort Worth DL Office (Reg 1)
Sewer System Repairs
6413 Woodway Drive
Fort Worth, Texas 76133
</t>
  </si>
  <si>
    <t>Statewide Unexpected DM repairs/Project Contingency:  Repair sewer system.</t>
  </si>
  <si>
    <t>1-SUL-17-62461</t>
  </si>
  <si>
    <t>Sulphur Springs Area Office (Reg 1)
Roof Replacement
1528 E. Shannon Road
Sulphur Springs, Texas 75482</t>
  </si>
  <si>
    <t>Statewide Unexpected DM repairs/Project Contingency:  Roof Replacement.  Roof is leaking and beyond repair.  Install metal roof</t>
  </si>
  <si>
    <t>2-HUN-17-62481</t>
  </si>
  <si>
    <t>Huntsville Area Office (Reg 2)
Sewer System Upgrade
523 South Highway 75 North
Huntsville, Texas 77320</t>
  </si>
  <si>
    <t>Statewide Unexpected DM repairs/Project Contingency:  Repair and upgrade sewer system to tie into new city line and remove septic tanks.</t>
  </si>
  <si>
    <t>6-WCL-17-62441</t>
  </si>
  <si>
    <t>Waco Crime Lab (Reg 6)
Replace Split System
1617 E. Crest Dr.
Waco, Texas  76705</t>
  </si>
  <si>
    <t>Statewide Unexpected DM repairs/Project Contingency:  Replace Split System.</t>
  </si>
  <si>
    <t>6-WAC-17-62421</t>
  </si>
  <si>
    <t>Waco District Office (Reg 6)
Security Access System Replacement
1617 E. Crest Dr.
Waco, Texas  76705</t>
  </si>
  <si>
    <t>Statewide Unexpected DM repairs/Project Contingency: Replace old security card access system.</t>
  </si>
  <si>
    <t>6-Aus-17-62431</t>
  </si>
  <si>
    <t>Austin North DL Office (Reg 6)
Automatic Door Opener
6121 North Lamar
Austin, Texas  78752</t>
  </si>
  <si>
    <t>Statewide Unexpected DM repairs/Project Contingency: Install automatic door openers for the public entrance to the DL office.</t>
  </si>
  <si>
    <t>Statewide
Unexpected DM repairs/Project Contingency:  Replace failed RTU. (50  ton)</t>
  </si>
  <si>
    <t>Austin HQ (Complex)
Building A Procurement Lighting Upgrade
5805 North Lamar Blvd
Austin, Texas 78752</t>
  </si>
  <si>
    <t>Upgrade existing lighting in the procurement area, building A to LED lighting</t>
  </si>
  <si>
    <t>HQ-A-17-62441</t>
  </si>
  <si>
    <t>Austin HQ (Complex)
Building K Replacement of AHU
5805 North Lamar Blvd
Austin, Texas 78752</t>
  </si>
  <si>
    <t>Replace existing AHU which is end of life.</t>
  </si>
  <si>
    <t>1-GAR-17-62441</t>
  </si>
  <si>
    <t>Garland Regional Headquarters  (Reg 1)
Chiller Replacement
350 West IH-30
Garland, Texas 75043</t>
  </si>
  <si>
    <t>Statewide
Unexpected DM repairs/Project Contingency:  Replace 60 ton air cooled chiller</t>
  </si>
  <si>
    <t>ST-BAS-17</t>
  </si>
  <si>
    <t>Statewide
Building Automation Systems</t>
  </si>
  <si>
    <t>Add Building Automation Systems as needed statewide.  TFC has been delegated this funding</t>
  </si>
  <si>
    <t>ST-TFC-17</t>
  </si>
  <si>
    <t>TFC Contingency</t>
  </si>
  <si>
    <t>Added contingency TFC's projects</t>
  </si>
  <si>
    <t>3-CONB-17-62907</t>
  </si>
  <si>
    <t>Alice Area Office (Reg 3)
Roof Replacement
300 South Johnson Alice, Texas 78332</t>
  </si>
  <si>
    <t>Statewide
Unexpected DM repairs/Project Contingency-Bond:  Inspected roof due to reported leaks, replace deteriorated roof system.</t>
  </si>
  <si>
    <t>HQ-A-17-62911</t>
  </si>
  <si>
    <t>Austin HQ Bldg. G Chiller Replacement
5805 North Lamar Blvd
Austin, Texas 78752</t>
  </si>
  <si>
    <t>Statewide
Unexpected DM repairs/Project Contingency: emergency replacement of Chiller at Building G, HQ</t>
  </si>
  <si>
    <t>2-CONB-17-62912</t>
  </si>
  <si>
    <t>Houston Dacoma DL Office (Reg 2)
Exterior Lighting Upgrade
4545 Dacoma Road
Houston, Texas 77092</t>
  </si>
  <si>
    <t>Statewide
Unexpected DM repairs/Project Contingency-Bond:  Replace exterior wall packs, 4 pole lights and under canopy lighting with LED.</t>
  </si>
  <si>
    <t>4/31/17</t>
  </si>
  <si>
    <t>5-CONB-17-62916</t>
  </si>
  <si>
    <t>Sweetwater Area Office (Reg 5)
Roof Replacement 
600 Northwest Georgia
Sweetwater, Texas 79556</t>
  </si>
  <si>
    <t xml:space="preserve">Statewide
Unexpected DM repairs/Project Contingency:  Roof Replacement </t>
  </si>
  <si>
    <t>4-CONB-17  NEED INDEX</t>
  </si>
  <si>
    <t>Midland Sub District Office (Reg 4)
Generator Replacement 
2405 S. Loop 250 West
Midland, Texas 79703</t>
  </si>
  <si>
    <t>Statewide
Unexpected DM repairs/Project Contingency:  Generator Replacement and upgrade emergency power distribution</t>
  </si>
  <si>
    <t>HQ-CONB-17-62908</t>
  </si>
  <si>
    <t>Tactical Training Center (HQ)
Security Replacement
820 CR 240
Florence, Texas 76527</t>
  </si>
  <si>
    <t>Statewide
Unexpected DM repairs/Project Contingency: Replace and upgrade security system</t>
  </si>
  <si>
    <t>3-LAR-18-XXXXX</t>
  </si>
  <si>
    <t>Laredo Crime Laboratory (Reg 3)
Retro Commissioning &amp; Verification Study
1901 Bob Bullock Loop
Laredo, Texas 78043</t>
  </si>
  <si>
    <t>Statewide
Unexpected DM repairs/Project Contingency: Laredo Crime Laboratory continues to experience HVAC control issues.  Retro commissioning and verification study will be conducted by an engineer.</t>
  </si>
  <si>
    <t>HQ-B-17-XXXXX</t>
  </si>
  <si>
    <t>Austin HQ (Building B)
Building B Renovation
5805 North Lamar Blvd
Austin, Texas 78752</t>
  </si>
  <si>
    <t>Complete renovations to vacated crime laboratory area and DM upgrades.</t>
  </si>
  <si>
    <t>TBD - developing schematics</t>
  </si>
  <si>
    <t>Consolidated</t>
  </si>
  <si>
    <t>Projects not funded</t>
  </si>
  <si>
    <t>Summary of projects not funded that were originally submitted 9-15-15 to the JOC</t>
  </si>
  <si>
    <t xml:space="preserve">85th Leg - FEMA expected to reimburse for damage incurred due to Hurricane Harvey.  Reduced line item by $278,000 and moved to contingency. </t>
  </si>
  <si>
    <t>13-17</t>
  </si>
  <si>
    <t>85th Leg - First quarter reflected one comprehensive project for HQ campus upgrades.  We updated the report to show the primary components of the planned campus upgrade.  Priority #13, the paving project, will be overseen by TFC.</t>
  </si>
  <si>
    <t>84th Leg - Project scope was absorbed by an ongoing remodel project and DM funding was not utilized.</t>
  </si>
  <si>
    <t>106 (Cont)</t>
  </si>
  <si>
    <t>84th Leg - Rider 40 appropriations ($17.7M) - project savings of $761,148 will offset contingency negative balance of $638,957 for a positive remaining balance of $121,571</t>
  </si>
  <si>
    <t xml:space="preserve">84th Leg - New priority DM project proposed utilizing the $200M bond funding to upgrade vacated crime laboratory space to help relieve overcrowding at the Headquarters complex.  This is an approved bond project with TPFA.  Recieved email from LBB approving the project.  Original proposed DM projects have been moved to a separate tab within the spreadsheet as they have become a lower agency priority compared to Building B.  If there are any savings from the approved DM projects, then we will begin to work on these currently unfunded DM projects.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</si>
</sst>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164" formatCode="&quot;$&quot;#,##0"/>
    <numFmt numFmtId="165" formatCode="###0;###0"/>
    <numFmt numFmtId="166" formatCode="_(&quot;$&quot;* #,##0_);_(&quot;$&quot;* \(#,##0\);_(&quot;$&quot;* &quot;-&quot;??_);_(@_)"/>
    <numFmt numFmtId="167" formatCode="mm/dd/yy;@"/>
    <numFmt numFmtId="168" formatCode="&quot;$&quot;#,##0;[Red]&quot;$&quot;#,##0"/>
  </numFmts>
  <fonts count="31">
    <font>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sz val="10"/>
      <color theme="1"/>
      <name val="Arial"/>
      <family val="2"/>
    </font>
    <font>
      <sz val="12"/>
      <color theme="1"/>
      <name val="Arial"/>
      <family val="2"/>
    </font>
    <font>
      <b/>
      <sz val="12"/>
      <color theme="1"/>
      <name val="Arial"/>
      <family val="2"/>
    </font>
    <font>
      <b/>
      <sz val="11"/>
      <color theme="1"/>
      <name val="Arial"/>
      <family val="2"/>
    </font>
    <font>
      <sz val="12"/>
      <color rgb="FF000000"/>
      <name val="Arial"/>
      <family val="2"/>
    </font>
    <font>
      <sz val="10"/>
      <color theme="1"/>
      <name val="Calibri"/>
      <family val="2"/>
      <scheme val="minor"/>
    </font>
    <font>
      <sz val="10"/>
      <color rgb="FF000000"/>
      <name val="Calibri"/>
      <family val="2"/>
    </font>
    <font>
      <b/>
      <sz val="9"/>
      <color indexed="81"/>
      <name val="Tahoma"/>
      <family val="2"/>
    </font>
    <font>
      <sz val="9"/>
      <color indexed="81"/>
      <name val="Tahoma"/>
      <family val="2"/>
    </font>
    <font>
      <b/>
      <sz val="11"/>
      <color theme="1"/>
      <name val="Calibri"/>
      <family val="2"/>
      <scheme val="minor"/>
    </font>
    <font>
      <i/>
      <sz val="12"/>
      <color theme="1"/>
      <name val="Arial"/>
      <family val="2"/>
    </font>
    <font>
      <b/>
      <sz val="10"/>
      <color theme="1"/>
      <name val="Arial"/>
      <family val="2"/>
    </font>
    <font>
      <b/>
      <i/>
      <sz val="12"/>
      <color theme="1"/>
      <name val="Arial"/>
      <family val="2"/>
    </font>
    <font>
      <b/>
      <u/>
      <sz val="12"/>
      <color theme="1"/>
      <name val="Arial"/>
      <family val="2"/>
    </font>
    <font>
      <sz val="11"/>
      <name val="Calibri"/>
      <family val="2"/>
    </font>
    <font>
      <sz val="12"/>
      <name val="Arial"/>
      <family val="2"/>
    </font>
    <font>
      <sz val="12"/>
      <color rgb="FFFF0000"/>
      <name val="Arial"/>
      <family val="2"/>
    </font>
    <font>
      <b/>
      <sz val="12"/>
      <name val="Arial"/>
      <family val="2"/>
    </font>
    <font>
      <b/>
      <sz val="28"/>
      <color theme="1"/>
      <name val="Arial"/>
      <family val="2"/>
    </font>
    <font>
      <sz val="12"/>
      <color theme="1"/>
      <name val="Century Schoolbook"/>
      <family val="1"/>
    </font>
    <font>
      <i/>
      <sz val="12"/>
      <color rgb="FFFF0000"/>
      <name val="Arial"/>
      <family val="2"/>
    </font>
    <font>
      <sz val="11"/>
      <color rgb="FF9C6500"/>
      <name val="Calibri"/>
      <family val="2"/>
      <scheme val="minor"/>
    </font>
    <font>
      <sz val="10"/>
      <name val="Arial"/>
      <family val="2"/>
    </font>
    <font>
      <i/>
      <sz val="10"/>
      <color theme="1"/>
      <name val="Arial"/>
      <family val="2"/>
    </font>
    <font>
      <sz val="10"/>
      <color indexed="8"/>
      <name val="Arial"/>
      <family val="2"/>
    </font>
    <font>
      <b/>
      <sz val="10"/>
      <name val="Arial"/>
      <family val="2"/>
    </font>
    <font>
      <b/>
      <sz val="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FFEB9C"/>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auto="1"/>
      </right>
      <top/>
      <bottom style="thin">
        <color auto="1"/>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2">
    <xf numFmtId="0" fontId="0" fillId="0" borderId="0"/>
    <xf numFmtId="0" fontId="1"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18" fillId="0" borderId="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8" fillId="0" borderId="0"/>
    <xf numFmtId="0" fontId="1" fillId="0" borderId="0"/>
    <xf numFmtId="44" fontId="18"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25" fillId="6" borderId="0" applyNumberFormat="0" applyBorder="0" applyAlignment="0" applyProtection="0"/>
    <xf numFmtId="0" fontId="28" fillId="0" borderId="0"/>
  </cellStyleXfs>
  <cellXfs count="546">
    <xf numFmtId="0" fontId="0" fillId="0" borderId="0" xfId="0"/>
    <xf numFmtId="0" fontId="1" fillId="0" borderId="1" xfId="1" applyBorder="1"/>
    <xf numFmtId="164" fontId="1" fillId="0" borderId="2" xfId="1" applyNumberFormat="1" applyBorder="1" applyAlignment="1">
      <alignment horizontal="center" wrapText="1"/>
    </xf>
    <xf numFmtId="10" fontId="1" fillId="0" borderId="2" xfId="1" applyNumberFormat="1" applyFont="1" applyBorder="1" applyAlignment="1">
      <alignment horizontal="center" wrapText="1"/>
    </xf>
    <xf numFmtId="10" fontId="1" fillId="0" borderId="3" xfId="1" applyNumberFormat="1" applyFont="1" applyBorder="1" applyAlignment="1">
      <alignment horizontal="center" wrapText="1"/>
    </xf>
    <xf numFmtId="0" fontId="1" fillId="0" borderId="4" xfId="1" applyBorder="1"/>
    <xf numFmtId="164" fontId="1" fillId="0" borderId="0" xfId="1" applyNumberFormat="1" applyBorder="1" applyAlignment="1">
      <alignment horizontal="center" wrapText="1"/>
    </xf>
    <xf numFmtId="10" fontId="1" fillId="0" borderId="0" xfId="1" applyNumberFormat="1" applyFont="1" applyBorder="1" applyAlignment="1">
      <alignment horizontal="center" wrapText="1"/>
    </xf>
    <xf numFmtId="10" fontId="1" fillId="0" borderId="5" xfId="1" applyNumberFormat="1" applyFont="1" applyBorder="1" applyAlignment="1">
      <alignment horizontal="center" wrapText="1"/>
    </xf>
    <xf numFmtId="0" fontId="2" fillId="0" borderId="4" xfId="1" applyFont="1" applyBorder="1"/>
    <xf numFmtId="0" fontId="1" fillId="2" borderId="4" xfId="1" applyFont="1" applyFill="1" applyBorder="1"/>
    <xf numFmtId="164" fontId="1" fillId="2" borderId="0" xfId="1" applyNumberFormat="1" applyFill="1" applyBorder="1" applyAlignment="1">
      <alignment horizontal="center" wrapText="1"/>
    </xf>
    <xf numFmtId="10" fontId="3" fillId="2" borderId="0" xfId="1" applyNumberFormat="1" applyFont="1" applyFill="1" applyBorder="1" applyAlignment="1">
      <alignment horizontal="center" wrapText="1"/>
    </xf>
    <xf numFmtId="10" fontId="1" fillId="2" borderId="0" xfId="1" applyNumberFormat="1" applyFill="1" applyBorder="1" applyAlignment="1">
      <alignment horizontal="center" wrapText="1"/>
    </xf>
    <xf numFmtId="10" fontId="1" fillId="2" borderId="5" xfId="1" applyNumberFormat="1" applyFill="1" applyBorder="1" applyAlignment="1">
      <alignment horizontal="center"/>
    </xf>
    <xf numFmtId="0" fontId="1" fillId="0" borderId="4" xfId="1" applyFont="1" applyFill="1" applyBorder="1"/>
    <xf numFmtId="164" fontId="1" fillId="0" borderId="0" xfId="1" applyNumberFormat="1" applyFill="1" applyBorder="1" applyAlignment="1">
      <alignment horizontal="center" wrapText="1"/>
    </xf>
    <xf numFmtId="10" fontId="3" fillId="3" borderId="0" xfId="1" applyNumberFormat="1" applyFont="1" applyFill="1" applyBorder="1" applyAlignment="1">
      <alignment horizontal="center" wrapText="1"/>
    </xf>
    <xf numFmtId="10" fontId="1" fillId="3" borderId="0" xfId="1" applyNumberFormat="1" applyFill="1" applyBorder="1" applyAlignment="1">
      <alignment horizontal="center" wrapText="1"/>
    </xf>
    <xf numFmtId="164" fontId="1" fillId="3" borderId="0" xfId="1" applyNumberFormat="1" applyFill="1" applyBorder="1" applyAlignment="1">
      <alignment horizontal="center" wrapText="1"/>
    </xf>
    <xf numFmtId="10" fontId="1" fillId="3" borderId="5" xfId="1" applyNumberFormat="1" applyFill="1" applyBorder="1" applyAlignment="1">
      <alignment horizontal="center"/>
    </xf>
    <xf numFmtId="10" fontId="1" fillId="2" borderId="0" xfId="1" applyNumberFormat="1" applyFont="1" applyFill="1" applyBorder="1" applyAlignment="1">
      <alignment horizontal="center" wrapText="1"/>
    </xf>
    <xf numFmtId="10" fontId="3" fillId="0" borderId="0" xfId="1" applyNumberFormat="1" applyFont="1" applyFill="1" applyBorder="1" applyAlignment="1">
      <alignment horizontal="center" wrapText="1"/>
    </xf>
    <xf numFmtId="10" fontId="1" fillId="0" borderId="0" xfId="1" applyNumberFormat="1" applyFill="1" applyBorder="1" applyAlignment="1">
      <alignment horizontal="center" wrapText="1"/>
    </xf>
    <xf numFmtId="10" fontId="1" fillId="0" borderId="5" xfId="1" applyNumberFormat="1" applyFill="1" applyBorder="1" applyAlignment="1">
      <alignment horizontal="center"/>
    </xf>
    <xf numFmtId="0" fontId="1" fillId="2" borderId="4" xfId="1" applyFill="1" applyBorder="1"/>
    <xf numFmtId="0" fontId="1" fillId="4" borderId="4" xfId="1" applyFont="1" applyFill="1" applyBorder="1"/>
    <xf numFmtId="164" fontId="1" fillId="4" borderId="0" xfId="1" applyNumberFormat="1" applyFill="1" applyBorder="1" applyAlignment="1">
      <alignment horizontal="center" wrapText="1"/>
    </xf>
    <xf numFmtId="10" fontId="3" fillId="4" borderId="0" xfId="1" applyNumberFormat="1" applyFont="1" applyFill="1" applyBorder="1" applyAlignment="1">
      <alignment horizontal="center" wrapText="1"/>
    </xf>
    <xf numFmtId="10" fontId="1" fillId="4" borderId="0" xfId="1" applyNumberFormat="1" applyFill="1" applyBorder="1" applyAlignment="1">
      <alignment horizontal="center" wrapText="1"/>
    </xf>
    <xf numFmtId="10" fontId="1" fillId="4" borderId="5" xfId="1" applyNumberFormat="1" applyFill="1" applyBorder="1" applyAlignment="1">
      <alignment horizontal="center"/>
    </xf>
    <xf numFmtId="0" fontId="1" fillId="0" borderId="4" xfId="1" applyFont="1" applyBorder="1"/>
    <xf numFmtId="10" fontId="1" fillId="4" borderId="0" xfId="1" applyNumberFormat="1" applyFont="1" applyFill="1" applyBorder="1" applyAlignment="1">
      <alignment horizontal="center" wrapText="1"/>
    </xf>
    <xf numFmtId="0" fontId="1" fillId="3" borderId="4" xfId="1" applyFont="1" applyFill="1" applyBorder="1"/>
    <xf numFmtId="0" fontId="1" fillId="4" borderId="4" xfId="1" applyFill="1" applyBorder="1"/>
    <xf numFmtId="0" fontId="1" fillId="0" borderId="0" xfId="1" applyBorder="1"/>
    <xf numFmtId="0" fontId="1" fillId="0" borderId="0" xfId="1" applyBorder="1" applyAlignment="1">
      <alignment horizontal="center"/>
    </xf>
    <xf numFmtId="0" fontId="1" fillId="0" borderId="5" xfId="1" applyBorder="1"/>
    <xf numFmtId="10" fontId="1" fillId="0" borderId="0" xfId="1" applyNumberFormat="1" applyBorder="1" applyAlignment="1">
      <alignment horizontal="center" wrapText="1"/>
    </xf>
    <xf numFmtId="10" fontId="1" fillId="0" borderId="5" xfId="1" applyNumberFormat="1" applyBorder="1" applyAlignment="1">
      <alignment horizontal="center"/>
    </xf>
    <xf numFmtId="0" fontId="0" fillId="0" borderId="4" xfId="0" applyBorder="1"/>
    <xf numFmtId="0" fontId="0" fillId="0" borderId="0" xfId="0" applyBorder="1"/>
    <xf numFmtId="0" fontId="0" fillId="0" borderId="0" xfId="0" applyBorder="1" applyAlignment="1">
      <alignment horizontal="center"/>
    </xf>
    <xf numFmtId="0" fontId="0" fillId="0" borderId="5" xfId="0" applyBorder="1"/>
    <xf numFmtId="0" fontId="4" fillId="0" borderId="6" xfId="0" applyFont="1" applyBorder="1"/>
    <xf numFmtId="0" fontId="4" fillId="0" borderId="7" xfId="0" applyFont="1" applyBorder="1"/>
    <xf numFmtId="0" fontId="4" fillId="0" borderId="7" xfId="0" applyFont="1" applyBorder="1" applyAlignment="1">
      <alignment horizontal="center"/>
    </xf>
    <xf numFmtId="0" fontId="4" fillId="0" borderId="8" xfId="0" applyFont="1" applyBorder="1"/>
    <xf numFmtId="0" fontId="5" fillId="0" borderId="1" xfId="3" applyFont="1" applyBorder="1"/>
    <xf numFmtId="0" fontId="5" fillId="0" borderId="2" xfId="3" applyFont="1" applyBorder="1"/>
    <xf numFmtId="0" fontId="5" fillId="0" borderId="2" xfId="3" applyFont="1" applyBorder="1" applyAlignment="1">
      <alignment wrapText="1"/>
    </xf>
    <xf numFmtId="49" fontId="6" fillId="0" borderId="2" xfId="3" applyNumberFormat="1" applyFont="1" applyBorder="1" applyAlignment="1">
      <alignment wrapText="1"/>
    </xf>
    <xf numFmtId="5" fontId="5" fillId="0" borderId="1" xfId="2" applyNumberFormat="1" applyFont="1" applyFill="1" applyBorder="1" applyAlignment="1">
      <alignment horizontal="right"/>
    </xf>
    <xf numFmtId="0" fontId="5" fillId="0" borderId="2" xfId="3" applyFont="1" applyBorder="1" applyAlignment="1">
      <alignment horizontal="right"/>
    </xf>
    <xf numFmtId="0" fontId="5" fillId="0" borderId="2" xfId="3" applyFont="1" applyFill="1" applyBorder="1"/>
    <xf numFmtId="5" fontId="5" fillId="0" borderId="2" xfId="3" applyNumberFormat="1" applyFont="1" applyBorder="1" applyAlignment="1">
      <alignment horizontal="right"/>
    </xf>
    <xf numFmtId="0" fontId="5" fillId="0" borderId="3" xfId="3" applyFont="1" applyBorder="1" applyAlignment="1">
      <alignment horizontal="right" wrapText="1"/>
    </xf>
    <xf numFmtId="0" fontId="5" fillId="0" borderId="4" xfId="3" applyFont="1" applyBorder="1"/>
    <xf numFmtId="0" fontId="5" fillId="0" borderId="0" xfId="3" applyFont="1" applyBorder="1"/>
    <xf numFmtId="0" fontId="5" fillId="0" borderId="0" xfId="3" applyFont="1" applyBorder="1" applyAlignment="1">
      <alignment wrapText="1"/>
    </xf>
    <xf numFmtId="49" fontId="6" fillId="0" borderId="0" xfId="3" applyNumberFormat="1" applyFont="1" applyBorder="1" applyAlignment="1">
      <alignment wrapText="1"/>
    </xf>
    <xf numFmtId="5" fontId="5" fillId="0" borderId="4" xfId="2" applyNumberFormat="1" applyFont="1" applyFill="1" applyBorder="1" applyAlignment="1">
      <alignment horizontal="right"/>
    </xf>
    <xf numFmtId="0" fontId="5" fillId="0" borderId="0" xfId="3" applyFont="1" applyFill="1" applyBorder="1"/>
    <xf numFmtId="5" fontId="5" fillId="0" borderId="0" xfId="3" applyNumberFormat="1" applyFont="1" applyBorder="1" applyAlignment="1">
      <alignment horizontal="right"/>
    </xf>
    <xf numFmtId="0" fontId="5" fillId="0" borderId="5" xfId="3" applyFont="1" applyBorder="1" applyAlignment="1">
      <alignment wrapText="1"/>
    </xf>
    <xf numFmtId="0" fontId="5" fillId="0" borderId="6" xfId="3" applyFont="1" applyBorder="1"/>
    <xf numFmtId="0" fontId="5" fillId="0" borderId="7" xfId="3" applyFont="1" applyBorder="1"/>
    <xf numFmtId="0" fontId="5" fillId="0" borderId="7" xfId="3" applyFont="1" applyBorder="1" applyAlignment="1">
      <alignment wrapText="1"/>
    </xf>
    <xf numFmtId="49" fontId="6" fillId="0" borderId="7" xfId="3" applyNumberFormat="1" applyFont="1" applyBorder="1" applyAlignment="1">
      <alignment wrapText="1"/>
    </xf>
    <xf numFmtId="0" fontId="5" fillId="0" borderId="7" xfId="3" applyFont="1" applyFill="1" applyBorder="1" applyAlignment="1">
      <alignment wrapText="1"/>
    </xf>
    <xf numFmtId="0" fontId="5" fillId="0" borderId="8" xfId="3" applyFont="1" applyBorder="1" applyAlignment="1">
      <alignment wrapText="1"/>
    </xf>
    <xf numFmtId="0" fontId="5" fillId="0" borderId="6" xfId="3" applyFont="1" applyBorder="1" applyAlignment="1">
      <alignment wrapText="1"/>
    </xf>
    <xf numFmtId="164" fontId="5" fillId="0" borderId="11" xfId="3" applyNumberFormat="1" applyFont="1" applyBorder="1" applyAlignment="1"/>
    <xf numFmtId="5" fontId="5" fillId="0" borderId="6" xfId="2" applyNumberFormat="1" applyFont="1" applyBorder="1" applyAlignment="1">
      <alignment horizontal="right"/>
    </xf>
    <xf numFmtId="0" fontId="5" fillId="0" borderId="7" xfId="3" applyFont="1" applyBorder="1" applyAlignment="1">
      <alignment horizontal="right"/>
    </xf>
    <xf numFmtId="0" fontId="5" fillId="0" borderId="7" xfId="3" applyFont="1" applyFill="1" applyBorder="1"/>
    <xf numFmtId="5" fontId="5" fillId="0" borderId="7" xfId="3" applyNumberFormat="1" applyFont="1" applyBorder="1" applyAlignment="1">
      <alignment horizontal="right"/>
    </xf>
    <xf numFmtId="0" fontId="6" fillId="0" borderId="12" xfId="3" applyFont="1" applyBorder="1" applyAlignment="1">
      <alignment horizontal="center" wrapText="1"/>
    </xf>
    <xf numFmtId="0" fontId="6" fillId="0" borderId="10" xfId="3" applyFont="1" applyBorder="1" applyAlignment="1">
      <alignment horizontal="center" wrapText="1"/>
    </xf>
    <xf numFmtId="0" fontId="6" fillId="0" borderId="16" xfId="3" applyFont="1" applyBorder="1" applyAlignment="1">
      <alignment horizontal="center" wrapText="1"/>
    </xf>
    <xf numFmtId="0" fontId="6" fillId="0" borderId="11" xfId="3" applyFont="1" applyBorder="1" applyAlignment="1">
      <alignment horizontal="center" wrapText="1"/>
    </xf>
    <xf numFmtId="0" fontId="5" fillId="0" borderId="18" xfId="0" applyFont="1" applyFill="1" applyBorder="1" applyAlignment="1">
      <alignment horizontal="left" vertical="top"/>
    </xf>
    <xf numFmtId="0" fontId="5" fillId="0" borderId="19" xfId="0" applyFont="1" applyFill="1" applyBorder="1" applyAlignment="1">
      <alignment horizontal="center" vertical="top"/>
    </xf>
    <xf numFmtId="1" fontId="5" fillId="0" borderId="13" xfId="0" applyNumberFormat="1" applyFont="1" applyFill="1" applyBorder="1" applyAlignment="1">
      <alignment horizontal="center" vertical="top" wrapText="1"/>
    </xf>
    <xf numFmtId="49" fontId="5" fillId="0" borderId="18" xfId="0" applyNumberFormat="1" applyFont="1" applyFill="1" applyBorder="1" applyAlignment="1">
      <alignment horizontal="left" vertical="top"/>
    </xf>
    <xf numFmtId="0" fontId="5" fillId="0" borderId="13" xfId="3" applyNumberFormat="1" applyFont="1" applyBorder="1" applyAlignment="1">
      <alignment vertical="top" wrapText="1"/>
    </xf>
    <xf numFmtId="0" fontId="5" fillId="0" borderId="13" xfId="3" applyFont="1" applyBorder="1" applyAlignment="1">
      <alignment horizontal="left" vertical="top" wrapText="1"/>
    </xf>
    <xf numFmtId="42" fontId="8" fillId="0" borderId="18" xfId="0" applyNumberFormat="1" applyFont="1" applyFill="1" applyBorder="1" applyAlignment="1">
      <alignment horizontal="left" vertical="top" wrapText="1"/>
    </xf>
    <xf numFmtId="14" fontId="5" fillId="0" borderId="13" xfId="3" applyNumberFormat="1" applyFont="1" applyFill="1" applyBorder="1" applyAlignment="1">
      <alignment horizontal="right" vertical="top" wrapText="1"/>
    </xf>
    <xf numFmtId="9" fontId="5" fillId="0" borderId="13" xfId="4" applyFont="1" applyFill="1" applyBorder="1" applyAlignment="1">
      <alignment horizontal="center" vertical="top" wrapText="1"/>
    </xf>
    <xf numFmtId="5" fontId="5" fillId="0" borderId="13" xfId="5" applyNumberFormat="1" applyFont="1" applyBorder="1" applyAlignment="1">
      <alignment horizontal="right" vertical="top" wrapText="1"/>
    </xf>
    <xf numFmtId="7" fontId="5" fillId="0" borderId="20" xfId="3" applyNumberFormat="1" applyFont="1" applyFill="1" applyBorder="1" applyAlignment="1">
      <alignment vertical="top" wrapText="1"/>
    </xf>
    <xf numFmtId="0" fontId="5" fillId="0" borderId="0" xfId="3" applyNumberFormat="1" applyFont="1" applyBorder="1" applyAlignment="1">
      <alignment vertical="top" wrapText="1"/>
    </xf>
    <xf numFmtId="0" fontId="5" fillId="0" borderId="21" xfId="0" applyFont="1" applyFill="1" applyBorder="1" applyAlignment="1">
      <alignment horizontal="center" vertical="top"/>
    </xf>
    <xf numFmtId="49" fontId="9" fillId="0" borderId="18" xfId="0" applyNumberFormat="1" applyFont="1" applyFill="1" applyBorder="1" applyAlignment="1">
      <alignment horizontal="left" vertical="top"/>
    </xf>
    <xf numFmtId="165" fontId="10" fillId="0" borderId="18" xfId="0" applyNumberFormat="1" applyFont="1" applyFill="1" applyBorder="1" applyAlignment="1">
      <alignment horizontal="center" vertical="top" wrapText="1"/>
    </xf>
    <xf numFmtId="9" fontId="5" fillId="0" borderId="13" xfId="4" applyFont="1" applyBorder="1" applyAlignment="1">
      <alignment horizontal="center" vertical="top" wrapText="1"/>
    </xf>
    <xf numFmtId="5" fontId="5" fillId="0" borderId="13" xfId="2" applyNumberFormat="1" applyFont="1" applyFill="1" applyBorder="1" applyAlignment="1">
      <alignment horizontal="right" vertical="top"/>
    </xf>
    <xf numFmtId="0" fontId="5" fillId="0" borderId="20" xfId="3" applyFont="1" applyFill="1" applyBorder="1" applyAlignment="1">
      <alignment vertical="top" wrapText="1"/>
    </xf>
    <xf numFmtId="0" fontId="5" fillId="0" borderId="0" xfId="3" applyFont="1" applyFill="1" applyBorder="1" applyAlignment="1">
      <alignment wrapText="1"/>
    </xf>
    <xf numFmtId="49" fontId="5" fillId="0" borderId="0" xfId="3" applyNumberFormat="1" applyFont="1" applyFill="1" applyBorder="1"/>
    <xf numFmtId="0" fontId="5" fillId="0" borderId="0" xfId="3" applyFont="1" applyFill="1" applyBorder="1" applyAlignment="1"/>
    <xf numFmtId="164" fontId="5" fillId="0" borderId="0" xfId="3" applyNumberFormat="1" applyFont="1" applyFill="1" applyBorder="1" applyAlignment="1"/>
    <xf numFmtId="5" fontId="5" fillId="0" borderId="0" xfId="2" applyNumberFormat="1" applyFont="1" applyFill="1" applyBorder="1" applyAlignment="1">
      <alignment horizontal="right"/>
    </xf>
    <xf numFmtId="0" fontId="5" fillId="0" borderId="0" xfId="3" applyFont="1" applyFill="1" applyBorder="1" applyAlignment="1">
      <alignment horizontal="right"/>
    </xf>
    <xf numFmtId="5" fontId="5" fillId="0" borderId="0" xfId="3" applyNumberFormat="1" applyFont="1" applyFill="1" applyBorder="1" applyAlignment="1">
      <alignment horizontal="right"/>
    </xf>
    <xf numFmtId="165" fontId="8" fillId="0" borderId="18" xfId="0" applyNumberFormat="1" applyFont="1" applyFill="1" applyBorder="1" applyAlignment="1">
      <alignment horizontal="left" vertical="top" wrapText="1"/>
    </xf>
    <xf numFmtId="0" fontId="0" fillId="0" borderId="0" xfId="0" applyFill="1"/>
    <xf numFmtId="0" fontId="6" fillId="0" borderId="13" xfId="0" applyFont="1" applyFill="1" applyBorder="1" applyAlignment="1">
      <alignment wrapText="1"/>
    </xf>
    <xf numFmtId="0" fontId="0" fillId="0" borderId="0" xfId="0" applyFill="1" applyBorder="1" applyAlignment="1">
      <alignment horizontal="left" wrapText="1"/>
    </xf>
    <xf numFmtId="166" fontId="0" fillId="0" borderId="0" xfId="5" applyNumberFormat="1" applyFont="1" applyFill="1"/>
    <xf numFmtId="0" fontId="0" fillId="0" borderId="0" xfId="0" applyFill="1" applyBorder="1"/>
    <xf numFmtId="0" fontId="0" fillId="0" borderId="0" xfId="0" applyFill="1" applyAlignment="1">
      <alignment horizontal="center"/>
    </xf>
    <xf numFmtId="14" fontId="0" fillId="0" borderId="0" xfId="0" applyNumberFormat="1" applyFill="1" applyBorder="1" applyAlignment="1">
      <alignment horizontal="left" wrapText="1"/>
    </xf>
    <xf numFmtId="166" fontId="0" fillId="0" borderId="0" xfId="5" applyNumberFormat="1" applyFont="1" applyFill="1" applyBorder="1"/>
    <xf numFmtId="0" fontId="14" fillId="0" borderId="0" xfId="0" applyFont="1" applyFill="1" applyBorder="1"/>
    <xf numFmtId="14" fontId="14" fillId="0" borderId="13" xfId="0" applyNumberFormat="1" applyFont="1" applyFill="1" applyBorder="1" applyAlignment="1">
      <alignment horizontal="left"/>
    </xf>
    <xf numFmtId="0" fontId="0" fillId="0" borderId="0" xfId="0" applyFill="1" applyBorder="1" applyAlignment="1">
      <alignment horizontal="left"/>
    </xf>
    <xf numFmtId="0" fontId="6" fillId="0" borderId="7" xfId="0" applyFont="1" applyFill="1" applyBorder="1" applyAlignment="1">
      <alignment wrapText="1"/>
    </xf>
    <xf numFmtId="0" fontId="0" fillId="0" borderId="7" xfId="0" applyFill="1" applyBorder="1" applyAlignment="1">
      <alignment wrapText="1"/>
    </xf>
    <xf numFmtId="0" fontId="0" fillId="0" borderId="0" xfId="0" applyFill="1" applyAlignment="1">
      <alignment wrapText="1"/>
    </xf>
    <xf numFmtId="0" fontId="0" fillId="0" borderId="13" xfId="0" applyFill="1" applyBorder="1" applyAlignment="1">
      <alignment horizontal="center" vertical="center"/>
    </xf>
    <xf numFmtId="0" fontId="0" fillId="0" borderId="13" xfId="0" applyFill="1" applyBorder="1" applyAlignment="1">
      <alignment vertical="center" wrapText="1"/>
    </xf>
    <xf numFmtId="0" fontId="0" fillId="0" borderId="13" xfId="0" applyFill="1" applyBorder="1" applyAlignment="1">
      <alignment horizontal="left" vertical="center" wrapText="1"/>
    </xf>
    <xf numFmtId="9" fontId="0" fillId="0" borderId="13" xfId="4" applyFont="1" applyFill="1" applyBorder="1" applyAlignment="1">
      <alignment horizontal="center" vertical="center" wrapText="1"/>
    </xf>
    <xf numFmtId="42" fontId="0" fillId="0" borderId="19" xfId="5" applyNumberFormat="1" applyFont="1" applyFill="1" applyBorder="1" applyAlignment="1">
      <alignment vertical="center" wrapText="1"/>
    </xf>
    <xf numFmtId="166" fontId="0" fillId="0" borderId="13" xfId="5" applyNumberFormat="1" applyFont="1" applyFill="1" applyBorder="1" applyAlignment="1">
      <alignment vertical="center" wrapText="1"/>
    </xf>
    <xf numFmtId="0" fontId="0" fillId="0" borderId="13" xfId="0" applyFill="1" applyBorder="1" applyAlignment="1">
      <alignment horizontal="center" vertical="center" wrapText="1"/>
    </xf>
    <xf numFmtId="167" fontId="0" fillId="0" borderId="13" xfId="0" applyNumberFormat="1" applyFill="1" applyBorder="1" applyAlignment="1">
      <alignment horizontal="center" vertical="center" wrapText="1"/>
    </xf>
    <xf numFmtId="42" fontId="0" fillId="0" borderId="13" xfId="5" applyNumberFormat="1" applyFont="1" applyFill="1" applyBorder="1" applyAlignment="1">
      <alignment vertical="center" wrapText="1"/>
    </xf>
    <xf numFmtId="167" fontId="0" fillId="0" borderId="11"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xf numFmtId="0" fontId="0" fillId="0" borderId="0" xfId="0" applyFill="1" applyBorder="1" applyAlignment="1">
      <alignment wrapText="1"/>
    </xf>
    <xf numFmtId="0" fontId="6" fillId="0" borderId="23" xfId="0" applyFont="1" applyFill="1" applyBorder="1" applyAlignment="1">
      <alignment horizontal="center"/>
    </xf>
    <xf numFmtId="166" fontId="6" fillId="0" borderId="24" xfId="0" applyNumberFormat="1" applyFont="1" applyFill="1" applyBorder="1"/>
    <xf numFmtId="166" fontId="6" fillId="0" borderId="24" xfId="5" applyNumberFormat="1" applyFont="1" applyFill="1" applyBorder="1"/>
    <xf numFmtId="0" fontId="0" fillId="0" borderId="25" xfId="0" applyFill="1" applyBorder="1"/>
    <xf numFmtId="0" fontId="0" fillId="0" borderId="2" xfId="0" applyFill="1" applyBorder="1"/>
    <xf numFmtId="0" fontId="0" fillId="0" borderId="25" xfId="0" applyFill="1" applyBorder="1" applyAlignment="1">
      <alignment horizontal="center"/>
    </xf>
    <xf numFmtId="0" fontId="6" fillId="0" borderId="13" xfId="0" applyFont="1" applyBorder="1" applyAlignment="1">
      <alignment wrapText="1"/>
    </xf>
    <xf numFmtId="0" fontId="0" fillId="0" borderId="0" xfId="0" applyBorder="1" applyAlignment="1">
      <alignment horizontal="left" wrapText="1"/>
    </xf>
    <xf numFmtId="14" fontId="0" fillId="0" borderId="0" xfId="0" applyNumberFormat="1" applyBorder="1" applyAlignment="1">
      <alignment horizontal="left" wrapText="1"/>
    </xf>
    <xf numFmtId="0" fontId="14" fillId="0" borderId="0" xfId="0" applyFont="1" applyBorder="1"/>
    <xf numFmtId="14" fontId="14" fillId="0" borderId="13" xfId="0" applyNumberFormat="1" applyFont="1" applyBorder="1" applyAlignment="1">
      <alignment horizontal="left"/>
    </xf>
    <xf numFmtId="0" fontId="0" fillId="0" borderId="0" xfId="0" applyBorder="1" applyAlignment="1">
      <alignment horizontal="left"/>
    </xf>
    <xf numFmtId="0" fontId="6" fillId="0" borderId="7" xfId="0" applyFont="1" applyBorder="1" applyAlignment="1">
      <alignment wrapText="1"/>
    </xf>
    <xf numFmtId="0" fontId="0" fillId="0" borderId="7" xfId="0" applyBorder="1" applyAlignment="1">
      <alignment wrapText="1"/>
    </xf>
    <xf numFmtId="0" fontId="0" fillId="0" borderId="0" xfId="0" applyAlignment="1">
      <alignment wrapText="1"/>
    </xf>
    <xf numFmtId="0" fontId="0" fillId="0" borderId="13" xfId="0" applyBorder="1" applyAlignment="1">
      <alignment horizontal="center" wrapText="1"/>
    </xf>
    <xf numFmtId="0" fontId="0" fillId="0" borderId="13" xfId="0" applyBorder="1" applyAlignment="1">
      <alignment horizontal="left" wrapText="1"/>
    </xf>
    <xf numFmtId="166" fontId="0" fillId="0" borderId="13" xfId="5" applyNumberFormat="1" applyFont="1" applyBorder="1" applyAlignment="1">
      <alignment wrapText="1"/>
    </xf>
    <xf numFmtId="14" fontId="0" fillId="0" borderId="13" xfId="0" applyNumberFormat="1" applyBorder="1" applyAlignment="1">
      <alignment wrapText="1"/>
    </xf>
    <xf numFmtId="9" fontId="0" fillId="0" borderId="13" xfId="4" applyFont="1" applyBorder="1" applyAlignment="1">
      <alignment horizontal="center" wrapText="1"/>
    </xf>
    <xf numFmtId="166" fontId="0" fillId="0" borderId="19" xfId="5" applyNumberFormat="1" applyFont="1" applyBorder="1" applyAlignment="1">
      <alignment wrapText="1"/>
    </xf>
    <xf numFmtId="0" fontId="0" fillId="0" borderId="13" xfId="0" applyBorder="1" applyAlignment="1">
      <alignment horizontal="center"/>
    </xf>
    <xf numFmtId="0" fontId="0" fillId="0" borderId="13" xfId="0" applyBorder="1" applyAlignment="1">
      <alignment wrapText="1"/>
    </xf>
    <xf numFmtId="42" fontId="0" fillId="0" borderId="13" xfId="5" applyNumberFormat="1" applyFont="1" applyBorder="1" applyAlignment="1">
      <alignment wrapText="1"/>
    </xf>
    <xf numFmtId="14" fontId="0" fillId="0" borderId="13" xfId="0" applyNumberFormat="1" applyBorder="1"/>
    <xf numFmtId="42" fontId="0" fillId="0" borderId="19" xfId="5" applyNumberFormat="1" applyFont="1" applyBorder="1"/>
    <xf numFmtId="42" fontId="0" fillId="0" borderId="19" xfId="5" applyNumberFormat="1" applyFont="1" applyBorder="1" applyAlignment="1">
      <alignment wrapText="1"/>
    </xf>
    <xf numFmtId="0" fontId="0" fillId="0" borderId="13" xfId="0" applyBorder="1" applyAlignment="1">
      <alignment vertical="center" wrapText="1"/>
    </xf>
    <xf numFmtId="166" fontId="0" fillId="0" borderId="13" xfId="5" applyNumberFormat="1" applyFont="1" applyFill="1" applyBorder="1" applyAlignment="1">
      <alignment wrapText="1"/>
    </xf>
    <xf numFmtId="0" fontId="0" fillId="0" borderId="13" xfId="0" applyBorder="1"/>
    <xf numFmtId="0" fontId="0" fillId="0" borderId="13" xfId="0" applyBorder="1" applyAlignment="1">
      <alignment horizontal="center" vertical="center"/>
    </xf>
    <xf numFmtId="0" fontId="0" fillId="0" borderId="13" xfId="0" applyFont="1" applyBorder="1" applyAlignment="1">
      <alignment wrapText="1"/>
    </xf>
    <xf numFmtId="0" fontId="0" fillId="0" borderId="11" xfId="0" applyBorder="1" applyAlignment="1">
      <alignment wrapText="1"/>
    </xf>
    <xf numFmtId="0" fontId="0" fillId="0" borderId="27" xfId="0" applyFill="1" applyBorder="1" applyAlignment="1">
      <alignment wrapText="1"/>
    </xf>
    <xf numFmtId="168" fontId="0" fillId="0" borderId="13" xfId="5" applyNumberFormat="1" applyFont="1" applyBorder="1" applyAlignment="1">
      <alignment wrapText="1"/>
    </xf>
    <xf numFmtId="0" fontId="0" fillId="0" borderId="11" xfId="0" applyFill="1" applyBorder="1" applyAlignment="1">
      <alignment wrapText="1"/>
    </xf>
    <xf numFmtId="0" fontId="0" fillId="0" borderId="9" xfId="0" applyBorder="1" applyAlignment="1">
      <alignment horizontal="center" wrapText="1"/>
    </xf>
    <xf numFmtId="168" fontId="0" fillId="0" borderId="9" xfId="0" applyNumberFormat="1" applyBorder="1"/>
    <xf numFmtId="0" fontId="0" fillId="0" borderId="9" xfId="0" applyBorder="1"/>
    <xf numFmtId="166" fontId="0" fillId="0" borderId="9" xfId="5" applyNumberFormat="1" applyFont="1" applyBorder="1" applyAlignment="1">
      <alignment wrapText="1"/>
    </xf>
    <xf numFmtId="0" fontId="0" fillId="0" borderId="13" xfId="0" applyBorder="1" applyAlignment="1"/>
    <xf numFmtId="0" fontId="0" fillId="0" borderId="0" xfId="0" applyBorder="1" applyAlignment="1"/>
    <xf numFmtId="0" fontId="6" fillId="0" borderId="23" xfId="0" applyFont="1" applyBorder="1" applyAlignment="1">
      <alignment horizontal="center"/>
    </xf>
    <xf numFmtId="166" fontId="6" fillId="0" borderId="24" xfId="0" applyNumberFormat="1" applyFont="1" applyBorder="1"/>
    <xf numFmtId="166" fontId="6" fillId="0" borderId="28" xfId="0" applyNumberFormat="1" applyFont="1" applyBorder="1"/>
    <xf numFmtId="0" fontId="0" fillId="0" borderId="25" xfId="0" applyBorder="1"/>
    <xf numFmtId="0" fontId="0" fillId="0" borderId="2" xfId="0" applyBorder="1"/>
    <xf numFmtId="166" fontId="6" fillId="0" borderId="29" xfId="5" applyNumberFormat="1" applyFont="1" applyBorder="1" applyAlignment="1">
      <alignment wrapText="1"/>
    </xf>
    <xf numFmtId="0" fontId="6" fillId="0" borderId="0" xfId="0" applyFont="1" applyBorder="1" applyAlignment="1"/>
    <xf numFmtId="0" fontId="0" fillId="0" borderId="0" xfId="0" applyBorder="1" applyAlignment="1">
      <alignment vertical="top" wrapText="1"/>
    </xf>
    <xf numFmtId="166" fontId="0" fillId="0" borderId="0" xfId="0" applyNumberFormat="1" applyBorder="1"/>
    <xf numFmtId="14" fontId="14" fillId="0" borderId="0" xfId="0" applyNumberFormat="1" applyFont="1" applyBorder="1" applyAlignment="1">
      <alignment horizontal="left"/>
    </xf>
    <xf numFmtId="0" fontId="0" fillId="0" borderId="10" xfId="0" applyFill="1" applyBorder="1" applyAlignment="1">
      <alignment horizontal="center"/>
    </xf>
    <xf numFmtId="0" fontId="0" fillId="0" borderId="13" xfId="0" applyFill="1" applyBorder="1" applyAlignment="1">
      <alignment horizontal="center"/>
    </xf>
    <xf numFmtId="0" fontId="0" fillId="0" borderId="0" xfId="0" applyAlignment="1">
      <alignment vertical="center"/>
    </xf>
    <xf numFmtId="0" fontId="6" fillId="0" borderId="13" xfId="0" applyFont="1" applyBorder="1" applyAlignment="1">
      <alignment vertic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0" fillId="0" borderId="0" xfId="0" applyBorder="1" applyAlignment="1">
      <alignment horizontal="left" vertical="center"/>
    </xf>
    <xf numFmtId="0" fontId="6" fillId="0" borderId="7" xfId="0" applyFont="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2" xfId="0" applyFont="1" applyBorder="1" applyAlignment="1">
      <alignment vertical="center" wrapText="1"/>
    </xf>
    <xf numFmtId="0" fontId="6" fillId="0" borderId="26" xfId="0" applyFont="1" applyBorder="1" applyAlignment="1">
      <alignment vertical="center" wrapText="1"/>
    </xf>
    <xf numFmtId="0" fontId="6" fillId="0" borderId="19" xfId="0" applyFont="1" applyBorder="1" applyAlignment="1">
      <alignment vertical="center" wrapText="1"/>
    </xf>
    <xf numFmtId="0" fontId="0" fillId="0" borderId="13" xfId="0" applyBorder="1" applyAlignment="1">
      <alignment horizontal="center" vertical="center" wrapText="1"/>
    </xf>
    <xf numFmtId="0" fontId="4" fillId="0" borderId="13" xfId="0" applyFont="1" applyBorder="1" applyAlignment="1">
      <alignment horizontal="left" vertical="center" wrapText="1"/>
    </xf>
    <xf numFmtId="6" fontId="0" fillId="0" borderId="13" xfId="0" applyNumberFormat="1" applyBorder="1" applyAlignment="1">
      <alignment horizontal="center" vertical="center" wrapText="1"/>
    </xf>
    <xf numFmtId="164" fontId="0" fillId="0" borderId="13" xfId="0" applyNumberFormat="1" applyBorder="1" applyAlignment="1">
      <alignment horizontal="center" vertical="center" wrapText="1"/>
    </xf>
    <xf numFmtId="0" fontId="4" fillId="0" borderId="13" xfId="0" applyFont="1" applyBorder="1" applyAlignment="1">
      <alignment vertical="center" wrapText="1"/>
    </xf>
    <xf numFmtId="164" fontId="0" fillId="0" borderId="9" xfId="0" applyNumberFormat="1" applyBorder="1" applyAlignment="1">
      <alignment horizontal="center" vertical="center" wrapText="1"/>
    </xf>
    <xf numFmtId="164" fontId="0" fillId="0" borderId="9" xfId="0" applyNumberFormat="1" applyFont="1" applyBorder="1" applyAlignment="1">
      <alignment horizontal="center" vertical="center" wrapText="1"/>
    </xf>
    <xf numFmtId="164" fontId="6" fillId="0" borderId="13" xfId="0" applyNumberFormat="1" applyFont="1" applyBorder="1" applyAlignment="1">
      <alignment horizontal="center" vertical="center" wrapText="1"/>
    </xf>
    <xf numFmtId="42" fontId="0" fillId="0" borderId="0" xfId="5" applyNumberFormat="1" applyFont="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42" fontId="0" fillId="0" borderId="0" xfId="5" applyNumberFormat="1" applyFont="1" applyBorder="1" applyAlignment="1">
      <alignment vertical="center"/>
    </xf>
    <xf numFmtId="0" fontId="14" fillId="0" borderId="0" xfId="0" applyFont="1" applyBorder="1" applyAlignment="1">
      <alignment horizontal="center" vertical="center"/>
    </xf>
    <xf numFmtId="14" fontId="14" fillId="0" borderId="13" xfId="0" applyNumberFormat="1" applyFont="1" applyBorder="1" applyAlignment="1">
      <alignment horizontal="left" vertical="center"/>
    </xf>
    <xf numFmtId="0" fontId="0" fillId="0" borderId="13" xfId="0" applyBorder="1" applyAlignment="1">
      <alignment horizontal="left" vertical="center" wrapText="1"/>
    </xf>
    <xf numFmtId="0" fontId="0" fillId="0" borderId="13" xfId="3" applyFont="1" applyBorder="1" applyAlignment="1">
      <alignment vertical="center" wrapText="1"/>
    </xf>
    <xf numFmtId="42" fontId="0" fillId="0" borderId="13" xfId="5" applyNumberFormat="1" applyFont="1" applyBorder="1" applyAlignment="1">
      <alignment horizontal="center" vertical="center" wrapText="1"/>
    </xf>
    <xf numFmtId="167" fontId="0" fillId="0" borderId="13" xfId="0" applyNumberFormat="1" applyBorder="1" applyAlignment="1">
      <alignment horizontal="center" vertical="center" wrapText="1"/>
    </xf>
    <xf numFmtId="9" fontId="0" fillId="0" borderId="13" xfId="4" applyFont="1" applyBorder="1" applyAlignment="1">
      <alignment horizontal="center" vertical="center" wrapText="1"/>
    </xf>
    <xf numFmtId="42" fontId="0" fillId="0" borderId="19" xfId="5" applyNumberFormat="1" applyFont="1" applyBorder="1" applyAlignment="1">
      <alignment vertical="center" wrapText="1"/>
    </xf>
    <xf numFmtId="166" fontId="0" fillId="0" borderId="19" xfId="5" applyNumberFormat="1" applyFont="1" applyBorder="1" applyAlignment="1">
      <alignment vertical="center" wrapText="1"/>
    </xf>
    <xf numFmtId="166" fontId="0" fillId="0" borderId="13" xfId="5" applyNumberFormat="1" applyFont="1" applyBorder="1" applyAlignment="1">
      <alignment vertical="center" wrapText="1"/>
    </xf>
    <xf numFmtId="0" fontId="0" fillId="0" borderId="13" xfId="3" applyFont="1" applyBorder="1" applyAlignment="1">
      <alignment horizontal="left" vertical="center" wrapText="1"/>
    </xf>
    <xf numFmtId="167" fontId="0" fillId="0" borderId="13" xfId="0" applyNumberFormat="1" applyBorder="1" applyAlignment="1">
      <alignment horizontal="center" vertical="center"/>
    </xf>
    <xf numFmtId="9" fontId="0" fillId="0" borderId="13" xfId="0" applyNumberFormat="1" applyBorder="1" applyAlignment="1">
      <alignment horizontal="center" vertical="center"/>
    </xf>
    <xf numFmtId="41" fontId="0" fillId="0" borderId="13" xfId="5" applyNumberFormat="1" applyFont="1" applyBorder="1" applyAlignment="1">
      <alignment horizontal="center" vertical="center" wrapText="1"/>
    </xf>
    <xf numFmtId="42" fontId="0" fillId="0" borderId="19" xfId="5" applyNumberFormat="1" applyFont="1" applyBorder="1" applyAlignment="1">
      <alignment horizontal="center" vertical="center" wrapText="1"/>
    </xf>
    <xf numFmtId="42" fontId="0" fillId="0" borderId="13" xfId="5" applyNumberFormat="1" applyFont="1" applyBorder="1" applyAlignment="1">
      <alignment vertical="center" wrapText="1"/>
    </xf>
    <xf numFmtId="41" fontId="0" fillId="0" borderId="13" xfId="5" applyNumberFormat="1" applyFont="1" applyBorder="1" applyAlignment="1">
      <alignment vertical="center"/>
    </xf>
    <xf numFmtId="42" fontId="0" fillId="0" borderId="19" xfId="5" applyNumberFormat="1" applyFont="1" applyBorder="1" applyAlignment="1">
      <alignment vertical="center"/>
    </xf>
    <xf numFmtId="0" fontId="0" fillId="0" borderId="13" xfId="0" applyBorder="1" applyAlignment="1">
      <alignment vertical="center"/>
    </xf>
    <xf numFmtId="42" fontId="0" fillId="0" borderId="13" xfId="5" applyNumberFormat="1" applyFont="1" applyBorder="1" applyAlignment="1">
      <alignment vertical="center"/>
    </xf>
    <xf numFmtId="0" fontId="0" fillId="0" borderId="19" xfId="0" applyBorder="1" applyAlignment="1">
      <alignment vertical="center"/>
    </xf>
    <xf numFmtId="0" fontId="17" fillId="0" borderId="13" xfId="0" applyFont="1" applyBorder="1" applyAlignment="1">
      <alignment vertical="center"/>
    </xf>
    <xf numFmtId="42" fontId="0" fillId="0" borderId="13" xfId="0" applyNumberFormat="1" applyBorder="1" applyAlignment="1">
      <alignment horizontal="center" vertical="center"/>
    </xf>
    <xf numFmtId="0" fontId="0" fillId="0" borderId="9" xfId="0" applyBorder="1" applyAlignment="1">
      <alignment vertical="center"/>
    </xf>
    <xf numFmtId="42" fontId="0" fillId="0" borderId="9" xfId="5" applyNumberFormat="1" applyFont="1" applyBorder="1" applyAlignment="1">
      <alignment vertical="center"/>
    </xf>
    <xf numFmtId="0" fontId="0" fillId="0" borderId="9" xfId="0" applyBorder="1" applyAlignment="1">
      <alignment horizontal="center" vertical="center"/>
    </xf>
    <xf numFmtId="42" fontId="0" fillId="0" borderId="3" xfId="5" applyNumberFormat="1" applyFont="1" applyBorder="1" applyAlignment="1">
      <alignment vertical="center"/>
    </xf>
    <xf numFmtId="0" fontId="0" fillId="0" borderId="3" xfId="0" applyBorder="1" applyAlignment="1">
      <alignment vertical="center"/>
    </xf>
    <xf numFmtId="166" fontId="0" fillId="0" borderId="9" xfId="5" applyNumberFormat="1" applyFont="1" applyBorder="1" applyAlignment="1">
      <alignment vertical="center" wrapText="1"/>
    </xf>
    <xf numFmtId="0" fontId="0" fillId="0" borderId="0" xfId="0" applyBorder="1" applyAlignment="1">
      <alignment vertical="center"/>
    </xf>
    <xf numFmtId="0" fontId="6" fillId="0" borderId="23" xfId="0" applyFont="1" applyBorder="1" applyAlignment="1">
      <alignment horizontal="center" vertical="center"/>
    </xf>
    <xf numFmtId="42" fontId="6" fillId="0" borderId="24" xfId="5" applyNumberFormat="1" applyFont="1" applyBorder="1" applyAlignment="1">
      <alignment vertical="center"/>
    </xf>
    <xf numFmtId="42" fontId="6" fillId="0" borderId="28" xfId="5" applyNumberFormat="1" applyFont="1" applyBorder="1" applyAlignment="1">
      <alignment vertical="center"/>
    </xf>
    <xf numFmtId="44" fontId="0" fillId="0" borderId="25" xfId="5" applyFont="1" applyBorder="1" applyAlignment="1">
      <alignment horizontal="center" vertical="center"/>
    </xf>
    <xf numFmtId="42" fontId="0" fillId="0" borderId="2" xfId="0" applyNumberFormat="1" applyBorder="1" applyAlignment="1">
      <alignment horizontal="center" vertical="center"/>
    </xf>
    <xf numFmtId="0" fontId="0" fillId="0" borderId="2" xfId="0" applyBorder="1" applyAlignment="1">
      <alignment horizontal="center" vertical="center"/>
    </xf>
    <xf numFmtId="166" fontId="6" fillId="0" borderId="28" xfId="0" applyNumberFormat="1" applyFont="1" applyBorder="1" applyAlignment="1">
      <alignment vertical="center"/>
    </xf>
    <xf numFmtId="166" fontId="6" fillId="0" borderId="29" xfId="5" applyNumberFormat="1" applyFont="1" applyBorder="1" applyAlignment="1">
      <alignment vertical="center" wrapText="1"/>
    </xf>
    <xf numFmtId="0" fontId="0" fillId="0" borderId="25" xfId="0" applyBorder="1" applyAlignment="1">
      <alignment vertical="center"/>
    </xf>
    <xf numFmtId="0" fontId="5" fillId="0" borderId="0" xfId="3"/>
    <xf numFmtId="0" fontId="5" fillId="0" borderId="0" xfId="3" applyAlignment="1">
      <alignment horizontal="center" vertical="center"/>
    </xf>
    <xf numFmtId="0" fontId="6" fillId="0" borderId="13" xfId="3" applyFont="1" applyBorder="1" applyAlignment="1">
      <alignment vertical="center" wrapText="1"/>
    </xf>
    <xf numFmtId="0" fontId="5" fillId="0" borderId="0" xfId="3" applyAlignment="1">
      <alignment vertical="center"/>
    </xf>
    <xf numFmtId="14" fontId="5" fillId="0" borderId="0" xfId="3" applyNumberFormat="1" applyBorder="1" applyAlignment="1">
      <alignment horizontal="left" vertical="center" wrapText="1"/>
    </xf>
    <xf numFmtId="0" fontId="5" fillId="0" borderId="0" xfId="3" applyBorder="1" applyAlignment="1">
      <alignment horizontal="left" vertical="center"/>
    </xf>
    <xf numFmtId="0" fontId="6" fillId="0" borderId="7" xfId="3" applyFont="1" applyBorder="1" applyAlignment="1">
      <alignment vertical="center" wrapText="1"/>
    </xf>
    <xf numFmtId="0" fontId="5" fillId="0" borderId="7" xfId="3" applyBorder="1" applyAlignment="1">
      <alignment vertical="center" wrapText="1"/>
    </xf>
    <xf numFmtId="0" fontId="5" fillId="0" borderId="0" xfId="3" applyAlignment="1">
      <alignment vertical="center" wrapText="1"/>
    </xf>
    <xf numFmtId="0" fontId="5" fillId="0" borderId="13" xfId="3" applyFont="1" applyFill="1" applyBorder="1" applyAlignment="1">
      <alignment horizontal="center" vertical="center" wrapText="1"/>
    </xf>
    <xf numFmtId="0" fontId="5" fillId="0" borderId="13" xfId="3" applyFill="1" applyBorder="1" applyAlignment="1">
      <alignment horizontal="left" vertical="center" wrapText="1"/>
    </xf>
    <xf numFmtId="0" fontId="5" fillId="0" borderId="13" xfId="3" applyFont="1" applyFill="1" applyBorder="1" applyAlignment="1">
      <alignment horizontal="left" vertical="center" wrapText="1"/>
    </xf>
    <xf numFmtId="0" fontId="5" fillId="0" borderId="13" xfId="3" applyFill="1" applyBorder="1" applyAlignment="1">
      <alignment vertical="center" wrapText="1"/>
    </xf>
    <xf numFmtId="0" fontId="19" fillId="0" borderId="13" xfId="3" applyFont="1" applyFill="1" applyBorder="1" applyAlignment="1">
      <alignment horizontal="left" vertical="center" wrapText="1"/>
    </xf>
    <xf numFmtId="0" fontId="5" fillId="5" borderId="13" xfId="3" applyFont="1" applyFill="1" applyBorder="1" applyAlignment="1">
      <alignment horizontal="center" vertical="center" wrapText="1"/>
    </xf>
    <xf numFmtId="0" fontId="5" fillId="5" borderId="13" xfId="3" applyFill="1" applyBorder="1" applyAlignment="1">
      <alignment vertical="center" wrapText="1"/>
    </xf>
    <xf numFmtId="0" fontId="5" fillId="5" borderId="13" xfId="3" applyFont="1" applyFill="1" applyBorder="1" applyAlignment="1">
      <alignment horizontal="left" vertical="center" wrapText="1"/>
    </xf>
    <xf numFmtId="0" fontId="5" fillId="5" borderId="13" xfId="3" applyFill="1" applyBorder="1" applyAlignment="1">
      <alignment horizontal="left" vertical="center" wrapText="1"/>
    </xf>
    <xf numFmtId="0" fontId="5" fillId="0" borderId="0" xfId="3" applyFill="1" applyAlignment="1">
      <alignment vertical="center"/>
    </xf>
    <xf numFmtId="14" fontId="14" fillId="0" borderId="13" xfId="3" applyNumberFormat="1" applyFont="1" applyBorder="1" applyAlignment="1">
      <alignment horizontal="center" vertical="center"/>
    </xf>
    <xf numFmtId="49" fontId="19" fillId="0" borderId="13" xfId="3" applyNumberFormat="1" applyFont="1" applyFill="1" applyBorder="1" applyAlignment="1">
      <alignment horizontal="center" vertical="center" wrapText="1"/>
    </xf>
    <xf numFmtId="9" fontId="5" fillId="0" borderId="13" xfId="4" applyFont="1" applyFill="1" applyBorder="1" applyAlignment="1">
      <alignment horizontal="left" vertical="center" wrapText="1"/>
    </xf>
    <xf numFmtId="0" fontId="5" fillId="0" borderId="13" xfId="3" applyFont="1" applyFill="1" applyBorder="1" applyAlignment="1">
      <alignment vertical="center" wrapText="1"/>
    </xf>
    <xf numFmtId="0" fontId="5" fillId="0" borderId="0" xfId="3" applyBorder="1" applyAlignment="1">
      <alignment horizontal="left" vertical="center" wrapText="1"/>
    </xf>
    <xf numFmtId="164" fontId="6" fillId="0" borderId="28" xfId="3" applyNumberFormat="1" applyFont="1" applyBorder="1" applyAlignment="1">
      <alignment vertical="center"/>
    </xf>
    <xf numFmtId="0" fontId="5" fillId="0" borderId="0" xfId="3" applyAlignment="1">
      <alignment horizontal="left" vertical="center" wrapText="1"/>
    </xf>
    <xf numFmtId="0" fontId="6" fillId="0" borderId="0" xfId="3" applyFont="1" applyBorder="1" applyAlignment="1">
      <alignment horizontal="left" vertical="center"/>
    </xf>
    <xf numFmtId="9" fontId="19" fillId="0" borderId="13" xfId="4" applyFont="1" applyFill="1" applyBorder="1" applyAlignment="1">
      <alignment horizontal="left" vertical="center" wrapText="1"/>
    </xf>
    <xf numFmtId="49" fontId="19" fillId="5" borderId="13" xfId="3" applyNumberFormat="1" applyFont="1" applyFill="1" applyBorder="1" applyAlignment="1">
      <alignment horizontal="center" vertical="center" wrapText="1"/>
    </xf>
    <xf numFmtId="164" fontId="19" fillId="5" borderId="13" xfId="3" applyNumberFormat="1" applyFont="1" applyFill="1" applyBorder="1" applyAlignment="1">
      <alignment horizontal="center" vertical="center" wrapText="1"/>
    </xf>
    <xf numFmtId="164" fontId="19" fillId="0" borderId="13" xfId="3" applyNumberFormat="1" applyFont="1" applyFill="1" applyBorder="1" applyAlignment="1">
      <alignment horizontal="center" vertical="center" wrapText="1"/>
    </xf>
    <xf numFmtId="5" fontId="19" fillId="0" borderId="19" xfId="5" applyNumberFormat="1" applyFont="1" applyFill="1" applyBorder="1" applyAlignment="1">
      <alignment horizontal="center" vertical="center" wrapText="1"/>
    </xf>
    <xf numFmtId="5" fontId="19" fillId="0" borderId="13" xfId="5" applyNumberFormat="1" applyFont="1" applyFill="1" applyBorder="1" applyAlignment="1">
      <alignment horizontal="center" vertical="center" wrapText="1"/>
    </xf>
    <xf numFmtId="5" fontId="19" fillId="5" borderId="13" xfId="5" applyNumberFormat="1" applyFont="1" applyFill="1" applyBorder="1" applyAlignment="1">
      <alignment horizontal="center" vertical="center" wrapText="1"/>
    </xf>
    <xf numFmtId="164" fontId="19" fillId="0" borderId="9" xfId="3" applyNumberFormat="1" applyFont="1" applyFill="1" applyBorder="1" applyAlignment="1">
      <alignment horizontal="center" vertical="center" wrapText="1"/>
    </xf>
    <xf numFmtId="0" fontId="5" fillId="0" borderId="0" xfId="3" applyBorder="1" applyAlignment="1">
      <alignment vertical="center"/>
    </xf>
    <xf numFmtId="14" fontId="14" fillId="0" borderId="0" xfId="3" applyNumberFormat="1" applyFont="1" applyBorder="1" applyAlignment="1">
      <alignment horizontal="center" vertical="center"/>
    </xf>
    <xf numFmtId="164" fontId="6" fillId="0" borderId="0" xfId="5" applyNumberFormat="1" applyFont="1" applyFill="1" applyBorder="1" applyAlignment="1">
      <alignment horizontal="center" vertical="center" wrapText="1"/>
    </xf>
    <xf numFmtId="0" fontId="22" fillId="0" borderId="13" xfId="3" applyFont="1" applyFill="1" applyBorder="1" applyAlignment="1">
      <alignment horizontal="center" vertical="center" wrapText="1"/>
    </xf>
    <xf numFmtId="0" fontId="22" fillId="5" borderId="13" xfId="3" applyFont="1" applyFill="1" applyBorder="1" applyAlignment="1">
      <alignment horizontal="center" vertical="center" wrapText="1"/>
    </xf>
    <xf numFmtId="167" fontId="19" fillId="5" borderId="13" xfId="4" applyNumberFormat="1" applyFont="1" applyFill="1" applyBorder="1" applyAlignment="1">
      <alignment horizontal="center" vertical="center" wrapText="1"/>
    </xf>
    <xf numFmtId="9" fontId="19" fillId="5" borderId="13" xfId="4" applyFont="1" applyFill="1" applyBorder="1" applyAlignment="1">
      <alignment horizontal="center" vertical="center" wrapText="1"/>
    </xf>
    <xf numFmtId="5" fontId="19" fillId="5" borderId="19" xfId="5" applyNumberFormat="1" applyFont="1" applyFill="1" applyBorder="1" applyAlignment="1">
      <alignment horizontal="center" vertical="center" wrapText="1"/>
    </xf>
    <xf numFmtId="0" fontId="20" fillId="0" borderId="0" xfId="3" applyNumberFormat="1" applyFont="1" applyFill="1" applyBorder="1" applyAlignment="1">
      <alignment vertical="center"/>
    </xf>
    <xf numFmtId="0" fontId="20" fillId="0" borderId="0" xfId="3" applyNumberFormat="1" applyFont="1" applyFill="1" applyAlignment="1" applyProtection="1">
      <alignment vertical="center"/>
      <protection locked="0"/>
    </xf>
    <xf numFmtId="167" fontId="24" fillId="0" borderId="0" xfId="3" applyNumberFormat="1" applyFont="1" applyFill="1" applyBorder="1" applyAlignment="1">
      <alignment vertical="center"/>
    </xf>
    <xf numFmtId="0" fontId="20" fillId="0" borderId="0" xfId="3" applyNumberFormat="1" applyFont="1" applyFill="1" applyBorder="1" applyAlignment="1" applyProtection="1">
      <alignment vertical="center"/>
      <protection locked="0"/>
    </xf>
    <xf numFmtId="0" fontId="20" fillId="0" borderId="0" xfId="3" applyNumberFormat="1" applyFont="1" applyFill="1" applyAlignment="1">
      <alignment vertical="center"/>
    </xf>
    <xf numFmtId="167" fontId="19" fillId="0" borderId="13" xfId="4" applyNumberFormat="1" applyFont="1" applyFill="1" applyBorder="1" applyAlignment="1">
      <alignment horizontal="center" vertical="center" wrapText="1"/>
    </xf>
    <xf numFmtId="9" fontId="19" fillId="0" borderId="13" xfId="4" applyFont="1" applyFill="1" applyBorder="1" applyAlignment="1">
      <alignment horizontal="center" vertical="center" wrapText="1"/>
    </xf>
    <xf numFmtId="167" fontId="19" fillId="0" borderId="0" xfId="4" applyNumberFormat="1" applyFont="1" applyFill="1" applyBorder="1" applyAlignment="1">
      <alignment horizontal="center" vertical="center" wrapText="1"/>
    </xf>
    <xf numFmtId="0" fontId="19" fillId="0" borderId="0" xfId="4" applyNumberFormat="1" applyFont="1" applyFill="1" applyBorder="1" applyAlignment="1">
      <alignment horizontal="center" vertical="center" wrapText="1"/>
    </xf>
    <xf numFmtId="5" fontId="19" fillId="0" borderId="3" xfId="5" applyNumberFormat="1" applyFont="1" applyFill="1" applyBorder="1" applyAlignment="1">
      <alignment horizontal="center" vertical="center" wrapText="1"/>
    </xf>
    <xf numFmtId="164" fontId="6" fillId="0" borderId="30" xfId="5" applyNumberFormat="1" applyFont="1" applyFill="1" applyBorder="1" applyAlignment="1">
      <alignment horizontal="center" vertical="center" wrapText="1"/>
    </xf>
    <xf numFmtId="164" fontId="6" fillId="0" borderId="31" xfId="5" applyNumberFormat="1" applyFont="1" applyFill="1" applyBorder="1" applyAlignment="1">
      <alignment horizontal="center" vertical="center" wrapText="1"/>
    </xf>
    <xf numFmtId="164" fontId="6" fillId="0" borderId="32" xfId="5" applyNumberFormat="1" applyFont="1" applyFill="1" applyBorder="1" applyAlignment="1">
      <alignment horizontal="center" vertical="center" wrapText="1"/>
    </xf>
    <xf numFmtId="9" fontId="0" fillId="0" borderId="13" xfId="0" applyNumberFormat="1" applyBorder="1" applyAlignment="1">
      <alignment horizontal="center" vertical="center" wrapText="1"/>
    </xf>
    <xf numFmtId="41" fontId="0" fillId="0" borderId="13" xfId="5" applyNumberFormat="1" applyFont="1" applyBorder="1" applyAlignment="1">
      <alignment vertical="center" wrapText="1"/>
    </xf>
    <xf numFmtId="166" fontId="0" fillId="0" borderId="19" xfId="5" applyNumberFormat="1" applyFont="1" applyFill="1" applyBorder="1" applyAlignment="1">
      <alignment vertical="center" wrapText="1"/>
    </xf>
    <xf numFmtId="0" fontId="0" fillId="0" borderId="13" xfId="0" quotePrefix="1" applyFill="1" applyBorder="1" applyAlignment="1">
      <alignment horizontal="center" vertical="center" wrapText="1"/>
    </xf>
    <xf numFmtId="168" fontId="0" fillId="0" borderId="13" xfId="0" applyNumberFormat="1" applyBorder="1" applyAlignment="1">
      <alignment wrapText="1"/>
    </xf>
    <xf numFmtId="164" fontId="0" fillId="0" borderId="13" xfId="0" applyNumberFormat="1" applyBorder="1" applyAlignment="1">
      <alignment wrapText="1"/>
    </xf>
    <xf numFmtId="42" fontId="0" fillId="0" borderId="13" xfId="0" applyNumberFormat="1" applyBorder="1" applyAlignment="1">
      <alignment horizontal="right" wrapText="1"/>
    </xf>
    <xf numFmtId="0" fontId="0" fillId="0" borderId="13" xfId="0" applyBorder="1" applyAlignment="1">
      <alignment horizontal="right" wrapText="1"/>
    </xf>
    <xf numFmtId="168" fontId="0" fillId="0" borderId="9" xfId="0" applyNumberFormat="1" applyBorder="1" applyAlignment="1">
      <alignment wrapText="1"/>
    </xf>
    <xf numFmtId="168" fontId="0" fillId="0" borderId="9" xfId="5" applyNumberFormat="1" applyFont="1" applyBorder="1" applyAlignment="1">
      <alignment wrapText="1"/>
    </xf>
    <xf numFmtId="0" fontId="0" fillId="0" borderId="9" xfId="0" applyBorder="1" applyAlignment="1">
      <alignment wrapText="1"/>
    </xf>
    <xf numFmtId="0" fontId="0" fillId="0" borderId="4" xfId="1" applyFont="1" applyFill="1" applyBorder="1"/>
    <xf numFmtId="0" fontId="0" fillId="2" borderId="4" xfId="1" applyFont="1" applyFill="1" applyBorder="1"/>
    <xf numFmtId="0" fontId="0" fillId="0" borderId="22" xfId="0" applyFill="1" applyBorder="1" applyAlignment="1">
      <alignment horizontal="left" wrapText="1"/>
    </xf>
    <xf numFmtId="0" fontId="0" fillId="0" borderId="19" xfId="0" applyFill="1" applyBorder="1" applyAlignment="1">
      <alignment horizontal="left" wrapText="1"/>
    </xf>
    <xf numFmtId="0" fontId="0" fillId="0" borderId="26" xfId="0" applyFill="1" applyBorder="1" applyAlignment="1">
      <alignment horizontal="left" wrapText="1"/>
    </xf>
    <xf numFmtId="0" fontId="4" fillId="0" borderId="0" xfId="0" applyFont="1" applyFill="1" applyAlignment="1">
      <alignment vertical="top" wrapText="1"/>
    </xf>
    <xf numFmtId="0" fontId="15" fillId="0" borderId="13" xfId="0" applyFont="1" applyFill="1" applyBorder="1" applyAlignment="1">
      <alignment vertical="top" wrapText="1"/>
    </xf>
    <xf numFmtId="0" fontId="26" fillId="0" borderId="0" xfId="20" applyFont="1" applyFill="1" applyBorder="1" applyAlignment="1">
      <alignment horizontal="left" wrapText="1"/>
    </xf>
    <xf numFmtId="44" fontId="4" fillId="0" borderId="0" xfId="0" applyNumberFormat="1" applyFont="1" applyFill="1" applyAlignment="1">
      <alignment vertical="top" wrapText="1"/>
    </xf>
    <xf numFmtId="0" fontId="4" fillId="0" borderId="0" xfId="0" applyFont="1" applyFill="1" applyAlignment="1">
      <alignment horizontal="right" vertical="top" wrapText="1"/>
    </xf>
    <xf numFmtId="9" fontId="4" fillId="0" borderId="0" xfId="4" applyFont="1" applyFill="1" applyBorder="1" applyAlignment="1">
      <alignment vertical="top" wrapText="1"/>
    </xf>
    <xf numFmtId="9" fontId="4" fillId="0" borderId="0" xfId="4" applyNumberFormat="1" applyFont="1" applyFill="1" applyAlignment="1">
      <alignment vertical="top" wrapText="1"/>
    </xf>
    <xf numFmtId="14" fontId="4" fillId="0" borderId="0" xfId="0" applyNumberFormat="1" applyFont="1" applyFill="1" applyBorder="1" applyAlignment="1">
      <alignment horizontal="left" vertical="top" wrapText="1"/>
    </xf>
    <xf numFmtId="0" fontId="4" fillId="0" borderId="0" xfId="0" applyFont="1" applyAlignment="1">
      <alignment vertical="top" wrapText="1"/>
    </xf>
    <xf numFmtId="44" fontId="4" fillId="0" borderId="0" xfId="0" applyNumberFormat="1" applyFont="1" applyAlignment="1">
      <alignment vertical="top" wrapText="1"/>
    </xf>
    <xf numFmtId="0" fontId="27" fillId="0" borderId="0" xfId="0" applyFont="1" applyFill="1" applyBorder="1" applyAlignment="1">
      <alignment horizontal="right" vertical="top" wrapText="1"/>
    </xf>
    <xf numFmtId="9" fontId="4" fillId="0" borderId="0" xfId="4" applyNumberFormat="1" applyFont="1" applyFill="1" applyBorder="1" applyAlignment="1">
      <alignment vertical="top" wrapText="1"/>
    </xf>
    <xf numFmtId="14" fontId="27" fillId="0" borderId="0" xfId="0" applyNumberFormat="1" applyFont="1" applyFill="1" applyBorder="1" applyAlignment="1">
      <alignment horizontal="left" vertical="top" wrapText="1"/>
    </xf>
    <xf numFmtId="0" fontId="4" fillId="0" borderId="0" xfId="0" applyFont="1" applyFill="1" applyBorder="1" applyAlignment="1">
      <alignment horizontal="left" vertical="top" wrapText="1"/>
    </xf>
    <xf numFmtId="9" fontId="4" fillId="0" borderId="0" xfId="4" applyFont="1" applyFill="1" applyAlignment="1">
      <alignment vertical="top" wrapText="1"/>
    </xf>
    <xf numFmtId="0" fontId="4" fillId="0" borderId="0" xfId="0" applyFont="1"/>
    <xf numFmtId="0" fontId="15" fillId="0" borderId="7" xfId="0" applyFont="1" applyFill="1" applyBorder="1" applyAlignment="1">
      <alignment vertical="top" wrapText="1"/>
    </xf>
    <xf numFmtId="0" fontId="4" fillId="0" borderId="7" xfId="0" applyFont="1" applyFill="1" applyBorder="1" applyAlignment="1">
      <alignment vertical="top" wrapText="1"/>
    </xf>
    <xf numFmtId="0" fontId="15" fillId="2" borderId="13" xfId="0" applyFont="1" applyFill="1" applyBorder="1" applyAlignment="1">
      <alignment horizontal="center" vertical="top" wrapText="1"/>
    </xf>
    <xf numFmtId="166" fontId="15" fillId="2" borderId="13" xfId="0" applyNumberFormat="1" applyFont="1" applyFill="1" applyBorder="1" applyAlignment="1">
      <alignment horizontal="center" vertical="top" wrapText="1"/>
    </xf>
    <xf numFmtId="166" fontId="15" fillId="0" borderId="13" xfId="0" applyNumberFormat="1" applyFont="1" applyFill="1" applyBorder="1" applyAlignment="1">
      <alignment horizontal="center" vertical="top" wrapText="1"/>
    </xf>
    <xf numFmtId="44" fontId="15" fillId="2" borderId="13" xfId="0" applyNumberFormat="1" applyFont="1" applyFill="1" applyBorder="1" applyAlignment="1">
      <alignment horizontal="center" vertical="top" wrapText="1"/>
    </xf>
    <xf numFmtId="9" fontId="15" fillId="2" borderId="13" xfId="4" applyFont="1" applyFill="1" applyBorder="1" applyAlignment="1">
      <alignment horizontal="center" vertical="top" wrapText="1"/>
    </xf>
    <xf numFmtId="9" fontId="15" fillId="2" borderId="13" xfId="4" applyNumberFormat="1" applyFont="1" applyFill="1" applyBorder="1" applyAlignment="1">
      <alignment horizontal="center" vertical="top" wrapText="1"/>
    </xf>
    <xf numFmtId="0" fontId="26" fillId="0" borderId="13" xfId="21" applyFont="1" applyFill="1" applyBorder="1" applyAlignment="1">
      <alignment horizontal="center" vertical="top" wrapText="1"/>
    </xf>
    <xf numFmtId="0" fontId="26" fillId="0" borderId="13" xfId="0" applyFont="1" applyFill="1" applyBorder="1" applyAlignment="1">
      <alignment horizontal="center" vertical="top" wrapText="1"/>
    </xf>
    <xf numFmtId="0" fontId="26" fillId="0" borderId="13" xfId="0" applyFont="1" applyFill="1" applyBorder="1" applyAlignment="1">
      <alignment vertical="top" wrapText="1"/>
    </xf>
    <xf numFmtId="0" fontId="26" fillId="0" borderId="13" xfId="0" applyFont="1" applyFill="1" applyBorder="1" applyAlignment="1">
      <alignment horizontal="left" vertical="top" wrapText="1"/>
    </xf>
    <xf numFmtId="166" fontId="26" fillId="0" borderId="13" xfId="0" applyNumberFormat="1" applyFont="1" applyFill="1" applyBorder="1" applyAlignment="1">
      <alignment horizontal="right" vertical="top" wrapText="1"/>
    </xf>
    <xf numFmtId="44" fontId="26" fillId="0" borderId="13" xfId="0" applyNumberFormat="1" applyFont="1" applyFill="1" applyBorder="1" applyAlignment="1">
      <alignment horizontal="right" vertical="top" wrapText="1"/>
    </xf>
    <xf numFmtId="42" fontId="26" fillId="0" borderId="13" xfId="0" applyNumberFormat="1" applyFont="1" applyFill="1" applyBorder="1" applyAlignment="1">
      <alignment horizontal="right" vertical="top" wrapText="1"/>
    </xf>
    <xf numFmtId="9" fontId="26" fillId="0" borderId="13" xfId="4" applyFont="1" applyFill="1" applyBorder="1" applyAlignment="1">
      <alignment horizontal="center" vertical="top" wrapText="1"/>
    </xf>
    <xf numFmtId="9" fontId="26" fillId="0" borderId="13" xfId="4" applyNumberFormat="1" applyFont="1" applyFill="1" applyBorder="1" applyAlignment="1">
      <alignment horizontal="center" vertical="top" wrapText="1"/>
    </xf>
    <xf numFmtId="44" fontId="26" fillId="0" borderId="13" xfId="5" applyNumberFormat="1" applyFont="1" applyFill="1" applyBorder="1" applyAlignment="1">
      <alignment vertical="top" wrapText="1"/>
    </xf>
    <xf numFmtId="42" fontId="26" fillId="0" borderId="13" xfId="5" applyNumberFormat="1" applyFont="1" applyFill="1" applyBorder="1" applyAlignment="1">
      <alignment vertical="top" wrapText="1"/>
    </xf>
    <xf numFmtId="0" fontId="26" fillId="0" borderId="13" xfId="21" applyFont="1" applyFill="1" applyBorder="1" applyAlignment="1">
      <alignment horizontal="left" vertical="top" wrapText="1"/>
    </xf>
    <xf numFmtId="166" fontId="26" fillId="0" borderId="13" xfId="21" applyNumberFormat="1" applyFont="1" applyFill="1" applyBorder="1" applyAlignment="1">
      <alignment horizontal="right" vertical="top" wrapText="1"/>
    </xf>
    <xf numFmtId="44" fontId="26" fillId="0" borderId="13" xfId="21" applyNumberFormat="1" applyFont="1" applyFill="1" applyBorder="1" applyAlignment="1">
      <alignment horizontal="right" vertical="top" wrapText="1"/>
    </xf>
    <xf numFmtId="14" fontId="26" fillId="0" borderId="13" xfId="0" applyNumberFormat="1" applyFont="1" applyFill="1" applyBorder="1" applyAlignment="1">
      <alignment horizontal="right" vertical="top" wrapText="1"/>
    </xf>
    <xf numFmtId="44" fontId="26" fillId="0" borderId="13" xfId="0" applyNumberFormat="1" applyFont="1" applyFill="1" applyBorder="1" applyAlignment="1">
      <alignment vertical="top" wrapText="1"/>
    </xf>
    <xf numFmtId="44" fontId="26" fillId="0" borderId="13" xfId="5" applyFont="1" applyFill="1" applyBorder="1" applyAlignment="1">
      <alignment horizontal="center" vertical="top" wrapText="1"/>
    </xf>
    <xf numFmtId="166" fontId="26" fillId="0" borderId="13" xfId="5" applyNumberFormat="1" applyFont="1" applyFill="1" applyBorder="1" applyAlignment="1">
      <alignment horizontal="right" vertical="top" wrapText="1"/>
    </xf>
    <xf numFmtId="44" fontId="26" fillId="0" borderId="13" xfId="5" applyNumberFormat="1" applyFont="1" applyFill="1" applyBorder="1" applyAlignment="1">
      <alignment horizontal="right" vertical="top" wrapText="1"/>
    </xf>
    <xf numFmtId="0" fontId="26" fillId="0" borderId="13" xfId="21" applyFont="1" applyFill="1" applyBorder="1" applyAlignment="1">
      <alignment vertical="top" wrapText="1"/>
    </xf>
    <xf numFmtId="44" fontId="26" fillId="0" borderId="0" xfId="5" applyNumberFormat="1" applyFont="1" applyFill="1" applyBorder="1" applyAlignment="1">
      <alignment vertical="top" wrapText="1"/>
    </xf>
    <xf numFmtId="0" fontId="29" fillId="0" borderId="13" xfId="21" applyFont="1" applyFill="1" applyBorder="1" applyAlignment="1">
      <alignment horizontal="center" vertical="top" wrapText="1"/>
    </xf>
    <xf numFmtId="0" fontId="29" fillId="0" borderId="13" xfId="0" applyFont="1" applyFill="1" applyBorder="1" applyAlignment="1">
      <alignment horizontal="center" vertical="top" wrapText="1"/>
    </xf>
    <xf numFmtId="16" fontId="26" fillId="0" borderId="13" xfId="21" quotePrefix="1" applyNumberFormat="1" applyFont="1" applyFill="1" applyBorder="1" applyAlignment="1">
      <alignment horizontal="center" vertical="top" wrapText="1"/>
    </xf>
    <xf numFmtId="166" fontId="26" fillId="0" borderId="13" xfId="4" applyNumberFormat="1" applyFont="1" applyFill="1" applyBorder="1" applyAlignment="1">
      <alignment horizontal="center" vertical="top" wrapText="1"/>
    </xf>
    <xf numFmtId="0" fontId="30" fillId="0" borderId="13" xfId="0" applyFont="1" applyFill="1" applyBorder="1" applyAlignment="1">
      <alignment horizontal="left" vertical="top" wrapText="1"/>
    </xf>
    <xf numFmtId="44" fontId="26" fillId="0" borderId="13" xfId="5" applyNumberFormat="1" applyFont="1" applyFill="1" applyBorder="1" applyAlignment="1">
      <alignment horizontal="center" vertical="top" wrapText="1"/>
    </xf>
    <xf numFmtId="42" fontId="26" fillId="0" borderId="13" xfId="11" applyNumberFormat="1" applyFont="1" applyFill="1" applyBorder="1" applyAlignment="1">
      <alignment horizontal="right" vertical="top" wrapText="1"/>
    </xf>
    <xf numFmtId="42" fontId="26" fillId="0" borderId="13" xfId="3" applyNumberFormat="1" applyFont="1" applyFill="1" applyBorder="1" applyAlignment="1">
      <alignment vertical="top" wrapText="1"/>
    </xf>
    <xf numFmtId="9" fontId="26" fillId="0" borderId="13" xfId="8" applyFont="1" applyFill="1" applyBorder="1" applyAlignment="1">
      <alignment horizontal="center" vertical="top" wrapText="1"/>
    </xf>
    <xf numFmtId="0" fontId="26" fillId="0" borderId="13" xfId="0" applyFont="1" applyFill="1" applyBorder="1" applyAlignment="1">
      <alignment horizontal="right" vertical="top" wrapText="1"/>
    </xf>
    <xf numFmtId="9" fontId="26" fillId="0" borderId="13" xfId="4" applyFont="1" applyFill="1" applyBorder="1" applyAlignment="1">
      <alignment vertical="top" wrapText="1"/>
    </xf>
    <xf numFmtId="9" fontId="26" fillId="0" borderId="13" xfId="4" applyNumberFormat="1" applyFont="1" applyFill="1" applyBorder="1" applyAlignment="1">
      <alignment vertical="top" wrapText="1"/>
    </xf>
    <xf numFmtId="0" fontId="26" fillId="0" borderId="0" xfId="0" applyFont="1" applyFill="1" applyAlignment="1">
      <alignment vertical="top" wrapText="1"/>
    </xf>
    <xf numFmtId="0" fontId="26" fillId="0" borderId="0" xfId="21" applyFont="1" applyFill="1" applyBorder="1" applyAlignment="1">
      <alignment horizontal="left" vertical="top" wrapText="1"/>
    </xf>
    <xf numFmtId="0" fontId="29" fillId="0" borderId="0" xfId="0" applyFont="1" applyFill="1" applyAlignment="1">
      <alignment vertical="top" wrapText="1"/>
    </xf>
    <xf numFmtId="166" fontId="29" fillId="0" borderId="33" xfId="0" applyNumberFormat="1" applyFont="1" applyFill="1" applyBorder="1" applyAlignment="1">
      <alignment vertical="top" wrapText="1"/>
    </xf>
    <xf numFmtId="166" fontId="29" fillId="0" borderId="33" xfId="0" applyNumberFormat="1" applyFont="1" applyFill="1" applyBorder="1" applyAlignment="1">
      <alignment horizontal="right" vertical="top" wrapText="1"/>
    </xf>
    <xf numFmtId="9" fontId="29" fillId="0" borderId="0" xfId="4" applyFont="1" applyFill="1" applyAlignment="1">
      <alignment vertical="top" wrapText="1"/>
    </xf>
    <xf numFmtId="9" fontId="29" fillId="0" borderId="0" xfId="4" applyNumberFormat="1" applyFont="1" applyFill="1" applyAlignment="1">
      <alignment vertical="top" wrapText="1"/>
    </xf>
    <xf numFmtId="44" fontId="29" fillId="0" borderId="33" xfId="0" applyNumberFormat="1" applyFont="1" applyFill="1" applyBorder="1" applyAlignment="1">
      <alignment vertical="top" wrapText="1"/>
    </xf>
    <xf numFmtId="0" fontId="0" fillId="0" borderId="0" xfId="0" applyNumberFormat="1" applyFill="1"/>
    <xf numFmtId="14" fontId="14" fillId="0" borderId="0" xfId="0" applyNumberFormat="1" applyFont="1" applyFill="1" applyBorder="1" applyAlignment="1">
      <alignment horizontal="left"/>
    </xf>
    <xf numFmtId="0" fontId="0" fillId="0" borderId="13" xfId="0" applyNumberFormat="1" applyFill="1" applyBorder="1" applyAlignment="1">
      <alignment horizontal="center" wrapText="1"/>
    </xf>
    <xf numFmtId="0" fontId="0" fillId="0" borderId="13" xfId="0" quotePrefix="1" applyNumberFormat="1" applyFill="1" applyBorder="1" applyAlignment="1">
      <alignment horizontal="center" wrapText="1"/>
    </xf>
    <xf numFmtId="0" fontId="4" fillId="0" borderId="22" xfId="0" applyFont="1" applyFill="1" applyBorder="1" applyAlignment="1">
      <alignment horizontal="left" wrapText="1"/>
    </xf>
    <xf numFmtId="0" fontId="4" fillId="0" borderId="19" xfId="0" applyFont="1" applyFill="1" applyBorder="1" applyAlignment="1">
      <alignment horizontal="left" wrapText="1"/>
    </xf>
    <xf numFmtId="14" fontId="4" fillId="0" borderId="22" xfId="0" applyNumberFormat="1" applyFont="1" applyFill="1" applyBorder="1" applyAlignment="1">
      <alignment horizontal="left" vertical="center" wrapText="1"/>
    </xf>
    <xf numFmtId="14" fontId="4" fillId="0" borderId="19" xfId="0" applyNumberFormat="1" applyFont="1" applyFill="1" applyBorder="1" applyAlignment="1">
      <alignment horizontal="left" vertical="center" wrapText="1"/>
    </xf>
    <xf numFmtId="0" fontId="4" fillId="0" borderId="22" xfId="0" applyFont="1" applyFill="1" applyBorder="1" applyAlignment="1">
      <alignment horizontal="left" vertical="top" wrapText="1"/>
    </xf>
    <xf numFmtId="0" fontId="4" fillId="0" borderId="19" xfId="0" applyFont="1" applyFill="1" applyBorder="1" applyAlignment="1">
      <alignment horizontal="left" vertical="top" wrapText="1"/>
    </xf>
    <xf numFmtId="42" fontId="6" fillId="0" borderId="9" xfId="5" applyNumberFormat="1" applyFont="1" applyBorder="1" applyAlignment="1">
      <alignment horizontal="center" vertical="center" wrapText="1"/>
    </xf>
    <xf numFmtId="42" fontId="6" fillId="0" borderId="10" xfId="5" applyNumberFormat="1" applyFont="1" applyBorder="1" applyAlignment="1">
      <alignment horizontal="center" vertical="center" wrapText="1"/>
    </xf>
    <xf numFmtId="42" fontId="6" fillId="0" borderId="11" xfId="5"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42" fontId="6" fillId="0" borderId="13" xfId="5"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0" fillId="0" borderId="22" xfId="0" applyBorder="1" applyAlignment="1">
      <alignment horizontal="left" vertical="center" wrapText="1"/>
    </xf>
    <xf numFmtId="0" fontId="0" fillId="0" borderId="19" xfId="0" applyBorder="1" applyAlignment="1">
      <alignment horizontal="left" vertical="center" wrapText="1"/>
    </xf>
    <xf numFmtId="14" fontId="0" fillId="0" borderId="22" xfId="0" applyNumberFormat="1" applyBorder="1" applyAlignment="1">
      <alignment horizontal="left" vertical="center" wrapText="1"/>
    </xf>
    <xf numFmtId="14" fontId="0" fillId="0" borderId="19" xfId="0" applyNumberFormat="1" applyBorder="1" applyAlignment="1">
      <alignment horizontal="left" vertical="center" wrapText="1"/>
    </xf>
    <xf numFmtId="0" fontId="0" fillId="0" borderId="22" xfId="0" applyBorder="1" applyAlignment="1">
      <alignment horizontal="left" vertical="center"/>
    </xf>
    <xf numFmtId="0" fontId="0" fillId="0" borderId="19" xfId="0" applyBorder="1" applyAlignment="1">
      <alignment horizontal="left" vertical="center"/>
    </xf>
    <xf numFmtId="0" fontId="5" fillId="0" borderId="22" xfId="3" applyBorder="1" applyAlignment="1">
      <alignment horizontal="left" vertical="center" wrapText="1"/>
    </xf>
    <xf numFmtId="0" fontId="5" fillId="0" borderId="19" xfId="3" applyBorder="1" applyAlignment="1">
      <alignment horizontal="left" vertical="center" wrapText="1"/>
    </xf>
    <xf numFmtId="0" fontId="6" fillId="0" borderId="9" xfId="3" applyFont="1" applyBorder="1" applyAlignment="1">
      <alignment horizontal="center" vertical="center" wrapText="1"/>
    </xf>
    <xf numFmtId="0" fontId="6" fillId="0" borderId="10"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13" xfId="3" applyFont="1" applyBorder="1" applyAlignment="1">
      <alignment horizontal="center" vertical="center" wrapText="1"/>
    </xf>
    <xf numFmtId="14" fontId="5" fillId="0" borderId="22" xfId="3" applyNumberFormat="1" applyBorder="1" applyAlignment="1">
      <alignment horizontal="left" vertical="center" wrapText="1"/>
    </xf>
    <xf numFmtId="14" fontId="5" fillId="0" borderId="19" xfId="3" applyNumberFormat="1" applyBorder="1" applyAlignment="1">
      <alignment horizontal="left" vertical="center" wrapText="1"/>
    </xf>
    <xf numFmtId="0" fontId="5" fillId="0" borderId="22" xfId="3" applyBorder="1" applyAlignment="1">
      <alignment horizontal="left" vertical="center"/>
    </xf>
    <xf numFmtId="0" fontId="5" fillId="0" borderId="19" xfId="3" applyBorder="1" applyAlignment="1">
      <alignment horizontal="left" vertical="center"/>
    </xf>
    <xf numFmtId="167" fontId="6" fillId="0" borderId="9" xfId="3" applyNumberFormat="1" applyFont="1" applyFill="1" applyBorder="1" applyAlignment="1">
      <alignment horizontal="center" vertical="center" wrapText="1"/>
    </xf>
    <xf numFmtId="167" fontId="6" fillId="0" borderId="10" xfId="3" applyNumberFormat="1" applyFont="1" applyFill="1" applyBorder="1" applyAlignment="1">
      <alignment horizontal="center" vertical="center" wrapText="1"/>
    </xf>
    <xf numFmtId="167" fontId="6" fillId="0" borderId="11" xfId="3" applyNumberFormat="1" applyFont="1" applyFill="1" applyBorder="1" applyAlignment="1">
      <alignment horizontal="center" vertical="center" wrapText="1"/>
    </xf>
    <xf numFmtId="0" fontId="21" fillId="0" borderId="1" xfId="3" applyNumberFormat="1" applyFont="1" applyFill="1" applyBorder="1" applyAlignment="1">
      <alignment horizontal="center" vertical="center" wrapText="1"/>
    </xf>
    <xf numFmtId="0" fontId="21" fillId="0" borderId="4" xfId="3" applyNumberFormat="1" applyFont="1" applyFill="1" applyBorder="1" applyAlignment="1">
      <alignment horizontal="center" vertical="center" wrapText="1"/>
    </xf>
    <xf numFmtId="0" fontId="21" fillId="0" borderId="6" xfId="3" applyNumberFormat="1" applyFont="1" applyFill="1" applyBorder="1" applyAlignment="1">
      <alignment horizontal="center" vertical="center" wrapText="1"/>
    </xf>
    <xf numFmtId="0" fontId="6" fillId="0" borderId="9" xfId="3" applyNumberFormat="1" applyFont="1" applyFill="1" applyBorder="1" applyAlignment="1">
      <alignment horizontal="center" vertical="center" wrapText="1"/>
    </xf>
    <xf numFmtId="0" fontId="6" fillId="0" borderId="10" xfId="3" applyNumberFormat="1" applyFont="1" applyFill="1" applyBorder="1" applyAlignment="1">
      <alignment horizontal="center" vertical="center" wrapText="1"/>
    </xf>
    <xf numFmtId="0" fontId="6" fillId="0" borderId="11" xfId="3" applyNumberFormat="1" applyFont="1" applyFill="1" applyBorder="1" applyAlignment="1">
      <alignment horizontal="center" vertical="center" wrapText="1"/>
    </xf>
    <xf numFmtId="166" fontId="6" fillId="0" borderId="9" xfId="5" applyNumberFormat="1" applyFont="1" applyFill="1" applyBorder="1" applyAlignment="1">
      <alignment horizontal="center" wrapText="1"/>
    </xf>
    <xf numFmtId="166" fontId="6" fillId="0" borderId="10" xfId="5" applyNumberFormat="1" applyFont="1" applyFill="1" applyBorder="1" applyAlignment="1">
      <alignment horizontal="center" wrapText="1"/>
    </xf>
    <xf numFmtId="166" fontId="6" fillId="0" borderId="11" xfId="5" applyNumberFormat="1" applyFont="1" applyFill="1" applyBorder="1" applyAlignment="1">
      <alignment horizontal="center" wrapText="1"/>
    </xf>
    <xf numFmtId="0" fontId="6" fillId="0" borderId="9" xfId="0" applyFont="1" applyFill="1" applyBorder="1" applyAlignment="1">
      <alignment horizontal="center" wrapText="1"/>
    </xf>
    <xf numFmtId="0" fontId="6" fillId="0" borderId="10" xfId="0" applyFont="1" applyFill="1" applyBorder="1" applyAlignment="1">
      <alignment horizontal="center" wrapText="1"/>
    </xf>
    <xf numFmtId="0" fontId="6" fillId="0" borderId="11" xfId="0" applyFont="1" applyFill="1" applyBorder="1" applyAlignment="1">
      <alignment horizontal="center" wrapText="1"/>
    </xf>
    <xf numFmtId="0" fontId="6" fillId="0" borderId="13" xfId="0" applyFont="1" applyFill="1" applyBorder="1" applyAlignment="1">
      <alignment horizontal="center" wrapText="1"/>
    </xf>
    <xf numFmtId="166" fontId="6" fillId="0" borderId="13" xfId="5" applyNumberFormat="1" applyFont="1" applyFill="1" applyBorder="1" applyAlignment="1">
      <alignment horizontal="center" wrapText="1"/>
    </xf>
    <xf numFmtId="0" fontId="6" fillId="0" borderId="1" xfId="0" applyFont="1" applyFill="1" applyBorder="1" applyAlignment="1">
      <alignment horizontal="center" wrapText="1"/>
    </xf>
    <xf numFmtId="0" fontId="6" fillId="0" borderId="4" xfId="0" applyFont="1" applyFill="1" applyBorder="1" applyAlignment="1">
      <alignment horizontal="center" wrapText="1"/>
    </xf>
    <xf numFmtId="0" fontId="6" fillId="0" borderId="6" xfId="0" applyFont="1" applyFill="1" applyBorder="1" applyAlignment="1">
      <alignment horizontal="center" wrapText="1"/>
    </xf>
    <xf numFmtId="0" fontId="0" fillId="0" borderId="22" xfId="0" applyFill="1" applyBorder="1" applyAlignment="1">
      <alignment horizontal="left" wrapText="1"/>
    </xf>
    <xf numFmtId="0" fontId="0" fillId="0" borderId="19" xfId="0" applyFill="1" applyBorder="1" applyAlignment="1">
      <alignment horizontal="left" wrapText="1"/>
    </xf>
    <xf numFmtId="14" fontId="0" fillId="0" borderId="22" xfId="0" applyNumberFormat="1" applyFill="1" applyBorder="1" applyAlignment="1">
      <alignment horizontal="left" wrapText="1"/>
    </xf>
    <xf numFmtId="14" fontId="0" fillId="0" borderId="19" xfId="0" applyNumberFormat="1" applyFill="1" applyBorder="1" applyAlignment="1">
      <alignment horizontal="left" wrapText="1"/>
    </xf>
    <xf numFmtId="0" fontId="0" fillId="0" borderId="22" xfId="0" applyFill="1" applyBorder="1" applyAlignment="1">
      <alignment horizontal="left"/>
    </xf>
    <xf numFmtId="0" fontId="0" fillId="0" borderId="19" xfId="0" applyFill="1" applyBorder="1" applyAlignment="1">
      <alignment horizontal="left"/>
    </xf>
    <xf numFmtId="0" fontId="6" fillId="0" borderId="9" xfId="0" applyFont="1" applyBorder="1" applyAlignment="1">
      <alignment horizontal="center" wrapText="1"/>
    </xf>
    <xf numFmtId="0" fontId="6" fillId="0" borderId="10" xfId="0" applyFont="1" applyBorder="1" applyAlignment="1">
      <alignment horizontal="center" wrapText="1"/>
    </xf>
    <xf numFmtId="0" fontId="6" fillId="0" borderId="11" xfId="0" applyFont="1" applyBorder="1" applyAlignment="1">
      <alignment horizontal="center" wrapText="1"/>
    </xf>
    <xf numFmtId="0" fontId="6" fillId="0" borderId="13" xfId="0" applyFont="1" applyBorder="1" applyAlignment="1">
      <alignment horizontal="center" wrapText="1"/>
    </xf>
    <xf numFmtId="0" fontId="0" fillId="0" borderId="22" xfId="0" applyBorder="1" applyAlignment="1">
      <alignment horizontal="left" wrapText="1"/>
    </xf>
    <xf numFmtId="0" fontId="0" fillId="0" borderId="19" xfId="0" applyBorder="1" applyAlignment="1">
      <alignment horizontal="left" wrapText="1"/>
    </xf>
    <xf numFmtId="14" fontId="0" fillId="0" borderId="22" xfId="0" applyNumberFormat="1" applyBorder="1" applyAlignment="1">
      <alignment horizontal="left" wrapText="1"/>
    </xf>
    <xf numFmtId="14" fontId="0" fillId="0" borderId="19" xfId="0" applyNumberFormat="1" applyBorder="1" applyAlignment="1">
      <alignment horizontal="left" wrapText="1"/>
    </xf>
    <xf numFmtId="0" fontId="0" fillId="0" borderId="22" xfId="0" applyBorder="1" applyAlignment="1">
      <alignment horizontal="left"/>
    </xf>
    <xf numFmtId="0" fontId="0" fillId="0" borderId="19" xfId="0" applyBorder="1" applyAlignment="1">
      <alignment horizontal="left"/>
    </xf>
    <xf numFmtId="0" fontId="5" fillId="0" borderId="4" xfId="3" applyFont="1" applyBorder="1" applyAlignment="1">
      <alignment horizontal="center" wrapText="1"/>
    </xf>
    <xf numFmtId="0" fontId="5" fillId="0" borderId="0" xfId="3" applyFont="1" applyBorder="1" applyAlignment="1">
      <alignment horizontal="center" wrapText="1"/>
    </xf>
    <xf numFmtId="0" fontId="5" fillId="0" borderId="0" xfId="3" applyFont="1" applyFill="1" applyBorder="1" applyAlignment="1">
      <alignment horizontal="left"/>
    </xf>
    <xf numFmtId="5" fontId="6" fillId="0" borderId="9" xfId="2" applyNumberFormat="1" applyFont="1" applyFill="1" applyBorder="1" applyAlignment="1">
      <alignment horizontal="center" wrapText="1"/>
    </xf>
    <xf numFmtId="5" fontId="6" fillId="0" borderId="10" xfId="2" applyNumberFormat="1" applyFont="1" applyFill="1" applyBorder="1" applyAlignment="1">
      <alignment horizontal="center" wrapText="1"/>
    </xf>
    <xf numFmtId="5" fontId="6" fillId="0" borderId="11" xfId="2" applyNumberFormat="1" applyFont="1" applyFill="1" applyBorder="1" applyAlignment="1">
      <alignment horizontal="center" wrapText="1"/>
    </xf>
    <xf numFmtId="0" fontId="5" fillId="0" borderId="2" xfId="3" applyFont="1" applyBorder="1" applyAlignment="1">
      <alignment horizontal="left" wrapText="1"/>
    </xf>
    <xf numFmtId="0" fontId="5" fillId="0" borderId="3" xfId="3" applyFont="1" applyBorder="1" applyAlignment="1">
      <alignment horizontal="left" wrapText="1"/>
    </xf>
    <xf numFmtId="0" fontId="7" fillId="0" borderId="1" xfId="3" applyFont="1" applyBorder="1" applyAlignment="1">
      <alignment horizontal="center" wrapText="1"/>
    </xf>
    <xf numFmtId="0" fontId="7" fillId="0" borderId="4" xfId="3" applyFont="1" applyBorder="1" applyAlignment="1">
      <alignment horizontal="center" wrapText="1"/>
    </xf>
    <xf numFmtId="164" fontId="5" fillId="0" borderId="9" xfId="3" applyNumberFormat="1" applyFont="1" applyFill="1" applyBorder="1" applyAlignment="1">
      <alignment wrapText="1"/>
    </xf>
    <xf numFmtId="164" fontId="5" fillId="0" borderId="10" xfId="3" applyNumberFormat="1" applyFont="1" applyFill="1" applyBorder="1" applyAlignment="1">
      <alignment wrapText="1"/>
    </xf>
    <xf numFmtId="14" fontId="5" fillId="0" borderId="0" xfId="3" applyNumberFormat="1" applyFont="1" applyFill="1" applyBorder="1" applyAlignment="1">
      <alignment horizontal="left" wrapText="1"/>
    </xf>
    <xf numFmtId="49" fontId="6" fillId="0" borderId="11" xfId="3" applyNumberFormat="1" applyFont="1" applyBorder="1" applyAlignment="1">
      <alignment horizontal="center" wrapText="1"/>
    </xf>
    <xf numFmtId="49" fontId="6" fillId="0" borderId="13" xfId="3" applyNumberFormat="1" applyFont="1" applyBorder="1" applyAlignment="1">
      <alignment horizontal="center" wrapText="1"/>
    </xf>
    <xf numFmtId="0" fontId="6" fillId="0" borderId="11" xfId="3" applyFont="1" applyFill="1" applyBorder="1" applyAlignment="1">
      <alignment horizontal="center" wrapText="1"/>
    </xf>
    <xf numFmtId="0" fontId="6" fillId="0" borderId="13" xfId="3" applyFont="1" applyFill="1" applyBorder="1" applyAlignment="1">
      <alignment horizontal="center" wrapText="1"/>
    </xf>
    <xf numFmtId="0" fontId="6" fillId="0" borderId="10" xfId="3" applyFont="1" applyBorder="1" applyAlignment="1">
      <alignment horizontal="center" wrapText="1"/>
    </xf>
    <xf numFmtId="0" fontId="6" fillId="0" borderId="11" xfId="3" applyFont="1" applyBorder="1" applyAlignment="1">
      <alignment horizontal="center" wrapText="1"/>
    </xf>
    <xf numFmtId="0" fontId="6" fillId="0" borderId="13" xfId="3" applyFont="1" applyBorder="1" applyAlignment="1">
      <alignment horizontal="center" wrapText="1"/>
    </xf>
    <xf numFmtId="164" fontId="6" fillId="0" borderId="11" xfId="3" applyNumberFormat="1" applyFont="1" applyBorder="1" applyAlignment="1">
      <alignment horizontal="center" wrapText="1"/>
    </xf>
    <xf numFmtId="164" fontId="6" fillId="0" borderId="13" xfId="3" applyNumberFormat="1" applyFont="1" applyBorder="1" applyAlignment="1">
      <alignment horizontal="center" wrapText="1"/>
    </xf>
    <xf numFmtId="0" fontId="6" fillId="0" borderId="14" xfId="3" applyFont="1" applyFill="1" applyBorder="1" applyAlignment="1">
      <alignment horizontal="center" wrapText="1"/>
    </xf>
    <xf numFmtId="0" fontId="6" fillId="0" borderId="15" xfId="3" applyFont="1" applyFill="1" applyBorder="1" applyAlignment="1">
      <alignment horizontal="center" wrapText="1"/>
    </xf>
    <xf numFmtId="0" fontId="6" fillId="0" borderId="17" xfId="3" applyFont="1" applyFill="1" applyBorder="1" applyAlignment="1">
      <alignment horizontal="center" wrapText="1"/>
    </xf>
    <xf numFmtId="0" fontId="6" fillId="0" borderId="9" xfId="3" applyFont="1" applyBorder="1" applyAlignment="1">
      <alignment horizontal="center" wrapText="1"/>
    </xf>
    <xf numFmtId="0" fontId="6" fillId="0" borderId="1" xfId="3" applyFont="1" applyBorder="1" applyAlignment="1">
      <alignment horizontal="center" wrapText="1"/>
    </xf>
    <xf numFmtId="0" fontId="6" fillId="0" borderId="4" xfId="3" applyFont="1" applyBorder="1" applyAlignment="1">
      <alignment horizontal="center" wrapText="1"/>
    </xf>
    <xf numFmtId="0" fontId="6" fillId="0" borderId="6" xfId="3" applyFont="1" applyBorder="1" applyAlignment="1">
      <alignment horizontal="center" wrapText="1"/>
    </xf>
    <xf numFmtId="5" fontId="6" fillId="0" borderId="9" xfId="3" applyNumberFormat="1" applyFont="1" applyBorder="1" applyAlignment="1">
      <alignment horizontal="center" wrapText="1"/>
    </xf>
    <xf numFmtId="5" fontId="6" fillId="0" borderId="10" xfId="3" applyNumberFormat="1" applyFont="1" applyBorder="1" applyAlignment="1">
      <alignment horizontal="center" wrapText="1"/>
    </xf>
    <xf numFmtId="5" fontId="6" fillId="0" borderId="11" xfId="3" applyNumberFormat="1" applyFont="1" applyBorder="1" applyAlignment="1">
      <alignment horizontal="center" wrapText="1"/>
    </xf>
    <xf numFmtId="0" fontId="0" fillId="0" borderId="22" xfId="0" applyFill="1" applyBorder="1" applyAlignment="1">
      <alignment horizontal="left" vertical="center" wrapText="1"/>
    </xf>
    <xf numFmtId="0" fontId="0" fillId="0" borderId="26" xfId="0" applyFill="1" applyBorder="1" applyAlignment="1">
      <alignment horizontal="left" vertical="center" wrapText="1"/>
    </xf>
    <xf numFmtId="0" fontId="0" fillId="0" borderId="19" xfId="0" applyFill="1" applyBorder="1" applyAlignment="1">
      <alignment horizontal="left" vertical="center" wrapText="1"/>
    </xf>
    <xf numFmtId="0" fontId="6" fillId="0" borderId="1" xfId="0" applyFont="1" applyFill="1" applyBorder="1" applyAlignment="1">
      <alignment horizontal="left" wrapText="1"/>
    </xf>
    <xf numFmtId="0" fontId="6" fillId="0" borderId="2" xfId="0" applyFont="1" applyFill="1" applyBorder="1" applyAlignment="1">
      <alignment horizontal="left" wrapText="1"/>
    </xf>
    <xf numFmtId="0" fontId="6" fillId="0" borderId="3" xfId="0" applyFont="1" applyFill="1" applyBorder="1" applyAlignment="1">
      <alignment horizontal="left" wrapText="1"/>
    </xf>
    <xf numFmtId="0" fontId="6" fillId="0" borderId="4" xfId="0" applyFont="1" applyFill="1" applyBorder="1" applyAlignment="1">
      <alignment horizontal="left" wrapText="1"/>
    </xf>
    <xf numFmtId="0" fontId="6" fillId="0" borderId="0" xfId="0" applyFont="1" applyFill="1" applyBorder="1" applyAlignment="1">
      <alignment horizontal="left" wrapText="1"/>
    </xf>
    <xf numFmtId="0" fontId="6" fillId="0" borderId="5" xfId="0" applyFont="1" applyFill="1" applyBorder="1" applyAlignment="1">
      <alignment horizontal="left" wrapText="1"/>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22" xfId="0" applyFont="1" applyBorder="1" applyAlignment="1">
      <alignment horizontal="left" wrapText="1"/>
    </xf>
    <xf numFmtId="0" fontId="0" fillId="0" borderId="26" xfId="0" applyBorder="1" applyAlignment="1">
      <alignment horizontal="left" wrapText="1"/>
    </xf>
    <xf numFmtId="0" fontId="0" fillId="0" borderId="22" xfId="0" applyFont="1" applyBorder="1" applyAlignment="1">
      <alignment horizontal="left" wrapText="1"/>
    </xf>
    <xf numFmtId="0" fontId="6" fillId="0" borderId="22" xfId="0" applyFont="1" applyFill="1" applyBorder="1" applyAlignment="1">
      <alignment horizontal="left" wrapText="1"/>
    </xf>
    <xf numFmtId="0" fontId="0" fillId="0" borderId="26" xfId="0" applyFill="1" applyBorder="1" applyAlignment="1">
      <alignment horizontal="left" wrapText="1"/>
    </xf>
    <xf numFmtId="0" fontId="0" fillId="0" borderId="26" xfId="0" applyFont="1" applyBorder="1" applyAlignment="1">
      <alignment horizontal="left" wrapText="1"/>
    </xf>
    <xf numFmtId="0" fontId="0" fillId="0" borderId="19" xfId="0" applyFont="1" applyBorder="1" applyAlignment="1">
      <alignment horizontal="left" wrapText="1"/>
    </xf>
    <xf numFmtId="0" fontId="6" fillId="0" borderId="1" xfId="0" applyFont="1" applyBorder="1" applyAlignment="1">
      <alignment horizontal="left"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0" xfId="0" applyFont="1" applyBorder="1" applyAlignment="1">
      <alignment horizontal="left" wrapText="1"/>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9" fontId="0" fillId="0" borderId="22" xfId="0" applyNumberFormat="1" applyBorder="1" applyAlignment="1">
      <alignment horizontal="left" vertical="center" wrapText="1"/>
    </xf>
    <xf numFmtId="0" fontId="0" fillId="0" borderId="26" xfId="0" applyBorder="1" applyAlignment="1">
      <alignment horizontal="left" vertical="center" wrapText="1"/>
    </xf>
    <xf numFmtId="0" fontId="0" fillId="0" borderId="22" xfId="0" applyBorder="1" applyAlignment="1">
      <alignment horizontal="center" wrapText="1"/>
    </xf>
    <xf numFmtId="0" fontId="0" fillId="0" borderId="26" xfId="0" applyBorder="1" applyAlignment="1">
      <alignment horizontal="center" wrapText="1"/>
    </xf>
    <xf numFmtId="0" fontId="0" fillId="0" borderId="19" xfId="0" applyBorder="1" applyAlignment="1">
      <alignment horizontal="center" wrapText="1"/>
    </xf>
    <xf numFmtId="0" fontId="6" fillId="0" borderId="1" xfId="0" applyFont="1" applyBorder="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14" fontId="0" fillId="0" borderId="22" xfId="0" applyNumberFormat="1" applyFont="1" applyFill="1" applyBorder="1" applyAlignment="1">
      <alignment horizontal="left" vertical="top" wrapText="1"/>
    </xf>
    <xf numFmtId="14" fontId="0" fillId="0" borderId="19" xfId="0" applyNumberFormat="1" applyFont="1" applyFill="1" applyBorder="1" applyAlignment="1">
      <alignment horizontal="left" vertical="top" wrapText="1"/>
    </xf>
    <xf numFmtId="0" fontId="6" fillId="0" borderId="9" xfId="0" applyNumberFormat="1" applyFont="1" applyFill="1" applyBorder="1" applyAlignment="1">
      <alignment horizontal="center" wrapText="1"/>
    </xf>
    <xf numFmtId="0" fontId="6" fillId="0" borderId="10" xfId="0" applyNumberFormat="1" applyFont="1" applyFill="1" applyBorder="1" applyAlignment="1">
      <alignment horizontal="center" wrapText="1"/>
    </xf>
    <xf numFmtId="0" fontId="6" fillId="0" borderId="11" xfId="0" applyNumberFormat="1" applyFont="1" applyFill="1" applyBorder="1" applyAlignment="1">
      <alignment horizontal="center" wrapText="1"/>
    </xf>
    <xf numFmtId="0" fontId="0" fillId="0" borderId="26" xfId="0" applyFill="1" applyBorder="1" applyAlignment="1">
      <alignment horizontal="left"/>
    </xf>
    <xf numFmtId="0" fontId="26" fillId="0" borderId="0" xfId="20" applyFont="1" applyFill="1" applyBorder="1" applyAlignment="1">
      <alignment horizontal="left" vertical="top" wrapText="1"/>
    </xf>
    <xf numFmtId="0" fontId="26" fillId="0" borderId="13" xfId="21" applyFont="1" applyFill="1" applyBorder="1" applyAlignment="1">
      <alignment horizontal="center" vertical="top"/>
    </xf>
    <xf numFmtId="4" fontId="26" fillId="0" borderId="13" xfId="0" applyNumberFormat="1" applyFont="1" applyFill="1" applyBorder="1"/>
  </cellXfs>
  <cellStyles count="22">
    <cellStyle name="Currency" xfId="2" builtinId="4"/>
    <cellStyle name="Currency 2" xfId="11"/>
    <cellStyle name="Currency 3" xfId="5"/>
    <cellStyle name="Currency 3 2" xfId="15"/>
    <cellStyle name="Currency 4" xfId="17"/>
    <cellStyle name="Neutral" xfId="20" builtinId="28"/>
    <cellStyle name="Normal" xfId="0" builtinId="0"/>
    <cellStyle name="Normal 2" xfId="1"/>
    <cellStyle name="Normal 2 2" xfId="6"/>
    <cellStyle name="Normal 3" xfId="7"/>
    <cellStyle name="Normal 4" xfId="3"/>
    <cellStyle name="Normal 4 2" xfId="9"/>
    <cellStyle name="Normal 5" xfId="10"/>
    <cellStyle name="Normal 6" xfId="13"/>
    <cellStyle name="Normal 7" xfId="14"/>
    <cellStyle name="Normal 8" xfId="16"/>
    <cellStyle name="Normal 9" xfId="19"/>
    <cellStyle name="Normal_Sheet1" xfId="21"/>
    <cellStyle name="Percent 2" xfId="8"/>
    <cellStyle name="Percent 3" xfId="4"/>
    <cellStyle name="Percent 3 2" xfId="12"/>
    <cellStyle name="Percent 4"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MD/16-17%20TMD-OED%20-%20FY17%20JOC%20Government%20Facilities%20Report%20-%202017-11-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1-Template"/>
      <sheetName val="2-Supplemental Notes"/>
    </sheetNames>
    <sheetDataSet>
      <sheetData sheetId="0"/>
      <sheetData sheetId="1">
        <row r="2">
          <cell r="C2">
            <v>43084</v>
          </cell>
        </row>
        <row r="13">
          <cell r="C13" t="str">
            <v>Camp Mabry Readiness Center (Bldg 75), 2200 West 35th Street, Austin, 78703</v>
          </cell>
        </row>
        <row r="14">
          <cell r="C14" t="str">
            <v>El Paso Hondo Pass Readiness Center, 9100 Gateway North, El Paso 79924</v>
          </cell>
        </row>
        <row r="15">
          <cell r="C15" t="str">
            <v>Temple Readiness Center, 8502 Airport Road. Temple 76502</v>
          </cell>
        </row>
        <row r="16">
          <cell r="C16" t="str">
            <v>Denison Readiness Center, 1700 Loy Lake, Denison 75020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3"/>
  <sheetViews>
    <sheetView tabSelected="1" workbookViewId="0">
      <selection activeCell="E4" sqref="E4"/>
    </sheetView>
  </sheetViews>
  <sheetFormatPr defaultRowHeight="15"/>
  <cols>
    <col min="1" max="1" width="15.140625" customWidth="1"/>
    <col min="2" max="2" width="14.7109375" customWidth="1"/>
    <col min="3" max="3" width="15" customWidth="1"/>
    <col min="4" max="4" width="14.140625" customWidth="1"/>
    <col min="5" max="5" width="13.7109375" customWidth="1"/>
    <col min="6" max="6" width="13.140625" customWidth="1"/>
    <col min="7" max="7" width="13.85546875" customWidth="1"/>
    <col min="8" max="8" width="15.28515625" customWidth="1"/>
    <col min="9" max="9" width="11" customWidth="1"/>
  </cols>
  <sheetData>
    <row r="2" spans="1:9" ht="45">
      <c r="A2" s="1"/>
      <c r="B2" s="2" t="s">
        <v>0</v>
      </c>
      <c r="C2" s="2" t="s">
        <v>1</v>
      </c>
      <c r="D2" s="2" t="s">
        <v>2</v>
      </c>
      <c r="E2" s="3" t="s">
        <v>3</v>
      </c>
      <c r="F2" s="2" t="s">
        <v>4</v>
      </c>
      <c r="G2" s="3" t="s">
        <v>5</v>
      </c>
      <c r="H2" s="2" t="s">
        <v>6</v>
      </c>
      <c r="I2" s="4" t="s">
        <v>7</v>
      </c>
    </row>
    <row r="3" spans="1:9" ht="15.75">
      <c r="A3" s="9" t="s">
        <v>67</v>
      </c>
      <c r="B3" s="6"/>
      <c r="C3" s="6"/>
      <c r="D3" s="6"/>
      <c r="E3" s="7"/>
      <c r="F3" s="6"/>
      <c r="G3" s="7"/>
      <c r="H3" s="6"/>
      <c r="I3" s="8"/>
    </row>
    <row r="4" spans="1:9">
      <c r="A4" s="321" t="s">
        <v>68</v>
      </c>
      <c r="B4" s="11">
        <v>38778877</v>
      </c>
      <c r="C4" s="11">
        <v>38778877</v>
      </c>
      <c r="D4" s="11">
        <v>2207682</v>
      </c>
      <c r="E4" s="12">
        <f t="shared" ref="E4:E10" si="0">D4/C4</f>
        <v>5.6930013728865844E-2</v>
      </c>
      <c r="F4" s="11">
        <v>20664113</v>
      </c>
      <c r="G4" s="13">
        <f t="shared" ref="G4:G10" si="1">F4/C4</f>
        <v>0.53287033041209519</v>
      </c>
      <c r="H4" s="11">
        <f t="shared" ref="H4" si="2">SUM(C4-D4-F4)</f>
        <v>15907082</v>
      </c>
      <c r="I4" s="14">
        <f t="shared" ref="I4:I10" si="3">SUM(H4/C4)</f>
        <v>0.41019965585903895</v>
      </c>
    </row>
    <row r="5" spans="1:9">
      <c r="A5" s="320" t="s">
        <v>69</v>
      </c>
      <c r="B5" s="16">
        <v>19562500</v>
      </c>
      <c r="C5" s="16">
        <v>19559181</v>
      </c>
      <c r="D5" s="16">
        <v>10213930</v>
      </c>
      <c r="E5" s="22">
        <f t="shared" si="0"/>
        <v>0.52220642571895004</v>
      </c>
      <c r="F5" s="16">
        <v>9345251</v>
      </c>
      <c r="G5" s="23">
        <f t="shared" si="1"/>
        <v>0.4777935742810499</v>
      </c>
      <c r="H5" s="16">
        <f>SUM(C5-D5-F5)</f>
        <v>0</v>
      </c>
      <c r="I5" s="24">
        <f t="shared" si="3"/>
        <v>0</v>
      </c>
    </row>
    <row r="6" spans="1:9">
      <c r="A6" s="321" t="s">
        <v>70</v>
      </c>
      <c r="B6" s="11">
        <v>91000000</v>
      </c>
      <c r="C6" s="11">
        <v>89301999</v>
      </c>
      <c r="D6" s="11">
        <v>59714941</v>
      </c>
      <c r="E6" s="21">
        <f t="shared" si="0"/>
        <v>0.66868537847624221</v>
      </c>
      <c r="F6" s="11">
        <v>29587058</v>
      </c>
      <c r="G6" s="13">
        <f t="shared" si="1"/>
        <v>0.33131462152375785</v>
      </c>
      <c r="H6" s="11">
        <f t="shared" ref="H6:H8" si="4">SUM(C6-D6-F6)</f>
        <v>0</v>
      </c>
      <c r="I6" s="14">
        <f t="shared" si="3"/>
        <v>0</v>
      </c>
    </row>
    <row r="7" spans="1:9">
      <c r="A7" s="320" t="s">
        <v>71</v>
      </c>
      <c r="B7" s="16">
        <v>56393901</v>
      </c>
      <c r="C7" s="16">
        <v>67380574</v>
      </c>
      <c r="D7" s="16">
        <v>26890785</v>
      </c>
      <c r="E7" s="22">
        <f t="shared" si="0"/>
        <v>0.39908809622191704</v>
      </c>
      <c r="F7" s="16">
        <v>40489789</v>
      </c>
      <c r="G7" s="23">
        <f t="shared" si="1"/>
        <v>0.60091190377808301</v>
      </c>
      <c r="H7" s="16">
        <f t="shared" si="4"/>
        <v>0</v>
      </c>
      <c r="I7" s="24">
        <f t="shared" si="3"/>
        <v>0</v>
      </c>
    </row>
    <row r="8" spans="1:9">
      <c r="A8" s="321" t="s">
        <v>72</v>
      </c>
      <c r="B8" s="11">
        <v>217156348</v>
      </c>
      <c r="C8" s="11">
        <v>217156348</v>
      </c>
      <c r="D8" s="11">
        <v>157362926</v>
      </c>
      <c r="E8" s="13">
        <f t="shared" si="0"/>
        <v>0.7246526636191174</v>
      </c>
      <c r="F8" s="11">
        <v>39447457</v>
      </c>
      <c r="G8" s="13">
        <f t="shared" si="1"/>
        <v>0.181654634383518</v>
      </c>
      <c r="H8" s="11">
        <f t="shared" si="4"/>
        <v>20345965</v>
      </c>
      <c r="I8" s="14">
        <f t="shared" si="3"/>
        <v>9.3692701997364597E-2</v>
      </c>
    </row>
    <row r="9" spans="1:9">
      <c r="A9" s="320" t="s">
        <v>73</v>
      </c>
      <c r="B9" s="16">
        <v>40127926</v>
      </c>
      <c r="C9" s="16">
        <v>67198859</v>
      </c>
      <c r="D9" s="16">
        <v>28253893</v>
      </c>
      <c r="E9" s="22">
        <f t="shared" si="0"/>
        <v>0.42045197523368666</v>
      </c>
      <c r="F9" s="16">
        <v>38944966</v>
      </c>
      <c r="G9" s="23">
        <f t="shared" si="1"/>
        <v>0.5795480247663134</v>
      </c>
      <c r="H9" s="16">
        <f>SUM(C9-D9-F9)</f>
        <v>0</v>
      </c>
      <c r="I9" s="24">
        <f t="shared" si="3"/>
        <v>0</v>
      </c>
    </row>
    <row r="10" spans="1:9">
      <c r="A10" s="25" t="s">
        <v>15</v>
      </c>
      <c r="B10" s="11">
        <f>SUM(B4:B9)</f>
        <v>463019552</v>
      </c>
      <c r="C10" s="11">
        <f>SUM(C4:C9)</f>
        <v>499375838</v>
      </c>
      <c r="D10" s="11">
        <f>SUM(D4:D9)</f>
        <v>284644157</v>
      </c>
      <c r="E10" s="13">
        <f t="shared" si="0"/>
        <v>0.56999985850336632</v>
      </c>
      <c r="F10" s="11">
        <f>SUM(F4:F9)</f>
        <v>178478634</v>
      </c>
      <c r="G10" s="13">
        <f t="shared" si="1"/>
        <v>0.35740342327095126</v>
      </c>
      <c r="H10" s="11">
        <f>SUM(H4:H9)</f>
        <v>36253047</v>
      </c>
      <c r="I10" s="14">
        <f t="shared" si="3"/>
        <v>7.2596718225682352E-2</v>
      </c>
    </row>
    <row r="11" spans="1:9">
      <c r="A11" s="5"/>
      <c r="B11" s="6"/>
      <c r="C11" s="6"/>
      <c r="D11" s="6"/>
      <c r="E11" s="7"/>
      <c r="F11" s="6"/>
      <c r="G11" s="7"/>
      <c r="H11" s="6"/>
      <c r="I11" s="8"/>
    </row>
    <row r="12" spans="1:9" ht="15.75">
      <c r="A12" s="9" t="s">
        <v>8</v>
      </c>
      <c r="B12" s="6"/>
      <c r="C12" s="6"/>
      <c r="D12" s="6"/>
      <c r="E12" s="7"/>
      <c r="F12" s="6"/>
      <c r="G12" s="7"/>
      <c r="H12" s="6"/>
      <c r="I12" s="8"/>
    </row>
    <row r="13" spans="1:9">
      <c r="A13" s="10" t="s">
        <v>9</v>
      </c>
      <c r="B13" s="11">
        <v>38778877</v>
      </c>
      <c r="C13" s="11">
        <v>38778877</v>
      </c>
      <c r="D13" s="11">
        <v>2274264</v>
      </c>
      <c r="E13" s="12">
        <f t="shared" ref="E13:E19" si="5">D13/C13</f>
        <v>5.8646979385194677E-2</v>
      </c>
      <c r="F13" s="11">
        <v>20581594</v>
      </c>
      <c r="G13" s="13">
        <f t="shared" ref="G13:G19" si="6">F13/C13</f>
        <v>0.53074239359742159</v>
      </c>
      <c r="H13" s="11">
        <f t="shared" ref="H13" si="7">SUM(C13-D13-F13)</f>
        <v>15923019</v>
      </c>
      <c r="I13" s="14">
        <f t="shared" ref="I13:I19" si="8">SUM(H13/C13)</f>
        <v>0.41061062701738371</v>
      </c>
    </row>
    <row r="14" spans="1:9">
      <c r="A14" s="15" t="s">
        <v>10</v>
      </c>
      <c r="B14" s="6">
        <v>19562500</v>
      </c>
      <c r="C14" s="16">
        <v>19559182</v>
      </c>
      <c r="D14" s="16">
        <v>11926010</v>
      </c>
      <c r="E14" s="17">
        <f t="shared" si="5"/>
        <v>0.60973971201863142</v>
      </c>
      <c r="F14" s="6">
        <v>7633172</v>
      </c>
      <c r="G14" s="18">
        <f t="shared" si="6"/>
        <v>0.39026028798136853</v>
      </c>
      <c r="H14" s="19">
        <f>SUM(C14-D14-F14)</f>
        <v>0</v>
      </c>
      <c r="I14" s="20">
        <f t="shared" si="8"/>
        <v>0</v>
      </c>
    </row>
    <row r="15" spans="1:9">
      <c r="A15" s="10" t="s">
        <v>11</v>
      </c>
      <c r="B15" s="11">
        <v>91000000</v>
      </c>
      <c r="C15" s="11">
        <v>91000000</v>
      </c>
      <c r="D15" s="11">
        <v>70307573</v>
      </c>
      <c r="E15" s="21">
        <f t="shared" si="5"/>
        <v>0.7726106923076923</v>
      </c>
      <c r="F15" s="11">
        <v>18602833</v>
      </c>
      <c r="G15" s="13">
        <f t="shared" si="6"/>
        <v>0.20442673626373625</v>
      </c>
      <c r="H15" s="11">
        <f t="shared" ref="H15:H17" si="9">SUM(C15-D15-F15)</f>
        <v>2089594</v>
      </c>
      <c r="I15" s="14">
        <f t="shared" si="8"/>
        <v>2.2962571428571429E-2</v>
      </c>
    </row>
    <row r="16" spans="1:9">
      <c r="A16" s="15" t="s">
        <v>12</v>
      </c>
      <c r="B16" s="6">
        <v>56393901</v>
      </c>
      <c r="C16" s="16">
        <v>67380436</v>
      </c>
      <c r="D16" s="6">
        <v>29779745</v>
      </c>
      <c r="E16" s="17">
        <f t="shared" si="5"/>
        <v>0.44196426689788709</v>
      </c>
      <c r="F16" s="6">
        <v>37600691</v>
      </c>
      <c r="G16" s="18">
        <f t="shared" si="6"/>
        <v>0.55803573310211285</v>
      </c>
      <c r="H16" s="19">
        <f t="shared" si="9"/>
        <v>0</v>
      </c>
      <c r="I16" s="20">
        <f t="shared" si="8"/>
        <v>0</v>
      </c>
    </row>
    <row r="17" spans="1:9">
      <c r="A17" s="10" t="s">
        <v>13</v>
      </c>
      <c r="B17" s="11">
        <v>217156348</v>
      </c>
      <c r="C17" s="11">
        <v>217156348</v>
      </c>
      <c r="D17" s="11">
        <v>171818990</v>
      </c>
      <c r="E17" s="13">
        <f t="shared" si="5"/>
        <v>0.79122250665221172</v>
      </c>
      <c r="F17" s="11">
        <v>22963614</v>
      </c>
      <c r="G17" s="13">
        <f t="shared" si="6"/>
        <v>0.10574691558176323</v>
      </c>
      <c r="H17" s="11">
        <f t="shared" si="9"/>
        <v>22373744</v>
      </c>
      <c r="I17" s="14">
        <f t="shared" si="8"/>
        <v>0.10303057776602506</v>
      </c>
    </row>
    <row r="18" spans="1:9">
      <c r="A18" s="15" t="s">
        <v>14</v>
      </c>
      <c r="B18" s="16">
        <v>40127926</v>
      </c>
      <c r="C18" s="16">
        <v>67198859</v>
      </c>
      <c r="D18" s="16">
        <v>34004826</v>
      </c>
      <c r="E18" s="22">
        <f t="shared" si="5"/>
        <v>0.5060327884436252</v>
      </c>
      <c r="F18" s="16">
        <v>33194033</v>
      </c>
      <c r="G18" s="23">
        <f t="shared" si="6"/>
        <v>0.4939672115563748</v>
      </c>
      <c r="H18" s="16">
        <f>SUM(C18-D18-F18)</f>
        <v>0</v>
      </c>
      <c r="I18" s="24">
        <f t="shared" si="8"/>
        <v>0</v>
      </c>
    </row>
    <row r="19" spans="1:9">
      <c r="A19" s="25" t="s">
        <v>15</v>
      </c>
      <c r="B19" s="11">
        <f>SUM(B13:B18)</f>
        <v>463019552</v>
      </c>
      <c r="C19" s="11">
        <f>SUM(C13:C18)</f>
        <v>501073702</v>
      </c>
      <c r="D19" s="11">
        <f>SUM(D13:D18)</f>
        <v>320111408</v>
      </c>
      <c r="E19" s="13">
        <f t="shared" si="5"/>
        <v>0.63885094492546324</v>
      </c>
      <c r="F19" s="11">
        <f>SUM(F13:F18)</f>
        <v>140575937</v>
      </c>
      <c r="G19" s="13">
        <f t="shared" si="6"/>
        <v>0.28054942105103731</v>
      </c>
      <c r="H19" s="11">
        <f>SUM(H13:H18)</f>
        <v>40386357</v>
      </c>
      <c r="I19" s="14">
        <f t="shared" si="8"/>
        <v>8.05996340234994E-2</v>
      </c>
    </row>
    <row r="20" spans="1:9">
      <c r="A20" s="5"/>
      <c r="B20" s="6"/>
      <c r="C20" s="6"/>
      <c r="D20" s="6"/>
      <c r="E20" s="7"/>
      <c r="F20" s="6"/>
      <c r="G20" s="7"/>
      <c r="H20" s="6"/>
      <c r="I20" s="8"/>
    </row>
    <row r="21" spans="1:9" ht="15.75">
      <c r="A21" s="9" t="s">
        <v>16</v>
      </c>
      <c r="B21" s="6"/>
      <c r="C21" s="6"/>
      <c r="D21" s="6"/>
      <c r="E21" s="7"/>
      <c r="F21" s="6"/>
      <c r="G21" s="7"/>
      <c r="H21" s="6"/>
      <c r="I21" s="8"/>
    </row>
    <row r="22" spans="1:9">
      <c r="A22" s="26" t="s">
        <v>17</v>
      </c>
      <c r="B22" s="27">
        <v>38778877</v>
      </c>
      <c r="C22" s="27">
        <v>38778877</v>
      </c>
      <c r="D22" s="27">
        <v>5754879</v>
      </c>
      <c r="E22" s="28">
        <f t="shared" ref="E22:E28" si="10">D22/C22</f>
        <v>0.14840241505704252</v>
      </c>
      <c r="F22" s="27">
        <v>6503922</v>
      </c>
      <c r="G22" s="29">
        <f t="shared" ref="G22:G28" si="11">F22/C22</f>
        <v>0.16771816264818601</v>
      </c>
      <c r="H22" s="27">
        <f t="shared" ref="H22:H26" si="12">SUM(C22-D22-F22)</f>
        <v>26520076</v>
      </c>
      <c r="I22" s="30">
        <f t="shared" ref="I22:I28" si="13">SUM(H22/C22)</f>
        <v>0.6838794222947715</v>
      </c>
    </row>
    <row r="23" spans="1:9">
      <c r="A23" s="31" t="s">
        <v>18</v>
      </c>
      <c r="B23" s="6">
        <v>19562500</v>
      </c>
      <c r="C23" s="6">
        <v>19073737</v>
      </c>
      <c r="D23" s="6">
        <v>12192539</v>
      </c>
      <c r="E23" s="17">
        <f t="shared" si="10"/>
        <v>0.6392317876669894</v>
      </c>
      <c r="F23" s="6">
        <v>6880898</v>
      </c>
      <c r="G23" s="18">
        <f t="shared" si="11"/>
        <v>0.36075248389972031</v>
      </c>
      <c r="H23" s="19">
        <v>0</v>
      </c>
      <c r="I23" s="20">
        <f t="shared" si="13"/>
        <v>0</v>
      </c>
    </row>
    <row r="24" spans="1:9">
      <c r="A24" s="26" t="s">
        <v>19</v>
      </c>
      <c r="B24" s="27">
        <v>91000000</v>
      </c>
      <c r="C24" s="27">
        <v>91000000</v>
      </c>
      <c r="D24" s="27">
        <v>36437072</v>
      </c>
      <c r="E24" s="32">
        <f t="shared" si="10"/>
        <v>0.40040738461538461</v>
      </c>
      <c r="F24" s="27">
        <v>12734722</v>
      </c>
      <c r="G24" s="29">
        <f t="shared" si="11"/>
        <v>0.13994200000000001</v>
      </c>
      <c r="H24" s="27">
        <f t="shared" si="12"/>
        <v>41828206</v>
      </c>
      <c r="I24" s="30">
        <f t="shared" si="13"/>
        <v>0.45965061538461538</v>
      </c>
    </row>
    <row r="25" spans="1:9">
      <c r="A25" s="31" t="s">
        <v>20</v>
      </c>
      <c r="B25" s="6">
        <v>56393901</v>
      </c>
      <c r="C25" s="6">
        <v>67455180</v>
      </c>
      <c r="D25" s="6">
        <v>22855492</v>
      </c>
      <c r="E25" s="17">
        <f t="shared" si="10"/>
        <v>0.33882486118931121</v>
      </c>
      <c r="F25" s="6">
        <v>31802939</v>
      </c>
      <c r="G25" s="18">
        <f t="shared" si="11"/>
        <v>0.47146770640890734</v>
      </c>
      <c r="H25" s="19">
        <f t="shared" si="12"/>
        <v>12796749</v>
      </c>
      <c r="I25" s="20">
        <f t="shared" si="13"/>
        <v>0.18970743240178145</v>
      </c>
    </row>
    <row r="26" spans="1:9">
      <c r="A26" s="26" t="s">
        <v>21</v>
      </c>
      <c r="B26" s="27">
        <v>217156348</v>
      </c>
      <c r="C26" s="27">
        <v>217156348</v>
      </c>
      <c r="D26" s="27">
        <v>174204035</v>
      </c>
      <c r="E26" s="29">
        <f t="shared" si="10"/>
        <v>0.80220558415358878</v>
      </c>
      <c r="F26" s="27">
        <v>14226767</v>
      </c>
      <c r="G26" s="29">
        <f t="shared" si="11"/>
        <v>6.5513935609195273E-2</v>
      </c>
      <c r="H26" s="27">
        <f t="shared" si="12"/>
        <v>28725546</v>
      </c>
      <c r="I26" s="30">
        <f t="shared" si="13"/>
        <v>0.132280480237216</v>
      </c>
    </row>
    <row r="27" spans="1:9">
      <c r="A27" s="33" t="s">
        <v>22</v>
      </c>
      <c r="B27" s="19">
        <v>200000000</v>
      </c>
      <c r="C27" s="19">
        <v>64698859</v>
      </c>
      <c r="D27" s="19">
        <v>55788445</v>
      </c>
      <c r="E27" s="17">
        <f t="shared" si="10"/>
        <v>0.862278653167593</v>
      </c>
      <c r="F27" s="19">
        <v>20113762</v>
      </c>
      <c r="G27" s="18">
        <f t="shared" si="11"/>
        <v>0.31088279315714051</v>
      </c>
      <c r="H27" s="19">
        <f>SUM(C27-D27)</f>
        <v>8910414</v>
      </c>
      <c r="I27" s="20">
        <f t="shared" si="13"/>
        <v>0.13772134683240705</v>
      </c>
    </row>
    <row r="28" spans="1:9">
      <c r="A28" s="34" t="s">
        <v>15</v>
      </c>
      <c r="B28" s="27">
        <f>SUM(B22:B27)</f>
        <v>622891626</v>
      </c>
      <c r="C28" s="27">
        <f>SUM(C22:C27)</f>
        <v>498163001</v>
      </c>
      <c r="D28" s="27">
        <f>SUM(D22:D27)</f>
        <v>307232462</v>
      </c>
      <c r="E28" s="29">
        <f t="shared" si="10"/>
        <v>0.61673079169522671</v>
      </c>
      <c r="F28" s="27">
        <f>SUM(F22:F27)</f>
        <v>92263010</v>
      </c>
      <c r="G28" s="29">
        <f t="shared" si="11"/>
        <v>0.18520646819373082</v>
      </c>
      <c r="H28" s="27">
        <f>SUM(H22:H27)</f>
        <v>118780991</v>
      </c>
      <c r="I28" s="30">
        <f t="shared" si="13"/>
        <v>0.2384380027452099</v>
      </c>
    </row>
    <row r="29" spans="1:9">
      <c r="A29" s="5"/>
      <c r="B29" s="6"/>
      <c r="C29" s="6"/>
      <c r="D29" s="6"/>
      <c r="E29" s="7"/>
      <c r="F29" s="6"/>
      <c r="G29" s="7"/>
      <c r="H29" s="6"/>
      <c r="I29" s="8"/>
    </row>
    <row r="30" spans="1:9" ht="15.75">
      <c r="A30" s="9" t="s">
        <v>23</v>
      </c>
      <c r="B30" s="6"/>
      <c r="C30" s="6"/>
      <c r="D30" s="6"/>
      <c r="E30" s="7"/>
      <c r="F30" s="6"/>
      <c r="G30" s="7"/>
      <c r="H30" s="6"/>
      <c r="I30" s="8"/>
    </row>
    <row r="31" spans="1:9">
      <c r="A31" s="26" t="s">
        <v>24</v>
      </c>
      <c r="B31" s="27">
        <v>38778877</v>
      </c>
      <c r="C31" s="27">
        <v>38778877</v>
      </c>
      <c r="D31" s="27">
        <v>8386884.2800000003</v>
      </c>
      <c r="E31" s="28">
        <f t="shared" ref="E31:E37" si="14">D31/C31</f>
        <v>0.21627455276747701</v>
      </c>
      <c r="F31" s="27">
        <v>2533050.42</v>
      </c>
      <c r="G31" s="29">
        <f t="shared" ref="G31:G37" si="15">F31/C31</f>
        <v>6.5320365517547094E-2</v>
      </c>
      <c r="H31" s="27">
        <f t="shared" ref="H31:H36" si="16">SUM(C31-D31-F31)</f>
        <v>27858942.299999997</v>
      </c>
      <c r="I31" s="30">
        <f t="shared" ref="I31:I37" si="17">SUM(H31/C31)</f>
        <v>0.71840508171497586</v>
      </c>
    </row>
    <row r="32" spans="1:9">
      <c r="A32" s="31" t="s">
        <v>25</v>
      </c>
      <c r="B32" s="6">
        <v>19562500</v>
      </c>
      <c r="C32" s="6">
        <v>19562500</v>
      </c>
      <c r="D32" s="6">
        <v>6092097</v>
      </c>
      <c r="E32" s="17">
        <f t="shared" si="14"/>
        <v>0.31141709904153353</v>
      </c>
      <c r="F32" s="6">
        <v>4990681</v>
      </c>
      <c r="G32" s="18">
        <f t="shared" si="15"/>
        <v>0.25511468370607027</v>
      </c>
      <c r="H32" s="19">
        <f t="shared" si="16"/>
        <v>8479722</v>
      </c>
      <c r="I32" s="20">
        <f t="shared" si="17"/>
        <v>0.43346821725239615</v>
      </c>
    </row>
    <row r="33" spans="1:9">
      <c r="A33" s="26" t="s">
        <v>26</v>
      </c>
      <c r="B33" s="27">
        <v>91000000</v>
      </c>
      <c r="C33" s="27">
        <v>91000000</v>
      </c>
      <c r="D33" s="27">
        <v>29260218</v>
      </c>
      <c r="E33" s="32">
        <f t="shared" si="14"/>
        <v>0.32154085714285713</v>
      </c>
      <c r="F33" s="27">
        <v>8257861</v>
      </c>
      <c r="G33" s="29">
        <f t="shared" si="15"/>
        <v>9.074572527472527E-2</v>
      </c>
      <c r="H33" s="27">
        <f t="shared" si="16"/>
        <v>53481921</v>
      </c>
      <c r="I33" s="30">
        <f t="shared" si="17"/>
        <v>0.58771341758241757</v>
      </c>
    </row>
    <row r="34" spans="1:9">
      <c r="A34" s="31" t="s">
        <v>27</v>
      </c>
      <c r="B34" s="6">
        <v>56393901</v>
      </c>
      <c r="C34" s="6">
        <v>59932443</v>
      </c>
      <c r="D34" s="6">
        <v>26555599</v>
      </c>
      <c r="E34" s="17">
        <f t="shared" si="14"/>
        <v>0.44309221634766333</v>
      </c>
      <c r="F34" s="6">
        <v>25920990</v>
      </c>
      <c r="G34" s="18">
        <f t="shared" si="15"/>
        <v>0.43250347729025496</v>
      </c>
      <c r="H34" s="19">
        <f t="shared" si="16"/>
        <v>7455854</v>
      </c>
      <c r="I34" s="20">
        <f t="shared" si="17"/>
        <v>0.12440430636208172</v>
      </c>
    </row>
    <row r="35" spans="1:9">
      <c r="A35" s="26" t="s">
        <v>28</v>
      </c>
      <c r="B35" s="27">
        <v>217156348</v>
      </c>
      <c r="C35" s="27">
        <v>217156348</v>
      </c>
      <c r="D35" s="27">
        <v>179531584</v>
      </c>
      <c r="E35" s="29">
        <f t="shared" si="14"/>
        <v>0.82673882506073459</v>
      </c>
      <c r="F35" s="27">
        <v>11215827</v>
      </c>
      <c r="G35" s="29">
        <f t="shared" si="15"/>
        <v>5.1648625993655044E-2</v>
      </c>
      <c r="H35" s="27">
        <f t="shared" si="16"/>
        <v>26408937</v>
      </c>
      <c r="I35" s="30">
        <f t="shared" si="17"/>
        <v>0.12161254894561038</v>
      </c>
    </row>
    <row r="36" spans="1:9">
      <c r="A36" s="31" t="s">
        <v>29</v>
      </c>
      <c r="B36" s="6">
        <v>200000000</v>
      </c>
      <c r="C36" s="6">
        <v>62655451</v>
      </c>
      <c r="D36" s="6">
        <v>45815594</v>
      </c>
      <c r="E36" s="17">
        <f t="shared" si="14"/>
        <v>0.73123077511643797</v>
      </c>
      <c r="F36" s="6">
        <v>13488142</v>
      </c>
      <c r="G36" s="18">
        <f t="shared" si="15"/>
        <v>0.21527483698106331</v>
      </c>
      <c r="H36" s="19">
        <f t="shared" si="16"/>
        <v>3351715</v>
      </c>
      <c r="I36" s="20">
        <f t="shared" si="17"/>
        <v>5.3494387902498698E-2</v>
      </c>
    </row>
    <row r="37" spans="1:9">
      <c r="A37" s="34" t="s">
        <v>15</v>
      </c>
      <c r="B37" s="27">
        <f>SUM(B31:B36)</f>
        <v>622891626</v>
      </c>
      <c r="C37" s="27">
        <f>SUM(C31:C36)</f>
        <v>489085619</v>
      </c>
      <c r="D37" s="27">
        <f>SUM(D31:D36)</f>
        <v>295641976.27999997</v>
      </c>
      <c r="E37" s="29">
        <f t="shared" si="14"/>
        <v>0.60447898035619807</v>
      </c>
      <c r="F37" s="27">
        <f>SUM(F31:F36)</f>
        <v>66406551.420000002</v>
      </c>
      <c r="G37" s="29">
        <f t="shared" si="15"/>
        <v>0.13577694546770144</v>
      </c>
      <c r="H37" s="27">
        <f>SUM(H31:H36)</f>
        <v>127037091.3</v>
      </c>
      <c r="I37" s="30">
        <f t="shared" si="17"/>
        <v>0.25974407417610046</v>
      </c>
    </row>
    <row r="38" spans="1:9">
      <c r="A38" s="5"/>
      <c r="B38" s="6"/>
      <c r="C38" s="6"/>
      <c r="D38" s="6"/>
      <c r="E38" s="7"/>
      <c r="F38" s="6"/>
      <c r="G38" s="7"/>
      <c r="H38" s="6"/>
      <c r="I38" s="8"/>
    </row>
    <row r="39" spans="1:9" ht="15.75">
      <c r="A39" s="9" t="s">
        <v>30</v>
      </c>
      <c r="B39" s="6"/>
      <c r="C39" s="6"/>
      <c r="D39" s="6"/>
      <c r="E39" s="7"/>
      <c r="F39" s="6"/>
      <c r="G39" s="7"/>
      <c r="H39" s="6"/>
      <c r="I39" s="8"/>
    </row>
    <row r="40" spans="1:9">
      <c r="A40" s="26" t="s">
        <v>31</v>
      </c>
      <c r="B40" s="27">
        <v>38778877</v>
      </c>
      <c r="C40" s="27">
        <v>38778877</v>
      </c>
      <c r="D40" s="27">
        <v>7839491.3700000001</v>
      </c>
      <c r="E40" s="28">
        <f t="shared" ref="E40:E46" si="18">D40/C40</f>
        <v>0.20215880336091219</v>
      </c>
      <c r="F40" s="27">
        <v>2531236</v>
      </c>
      <c r="G40" s="29">
        <f t="shared" ref="G40:G46" si="19">F40/C40</f>
        <v>6.5273576643284439E-2</v>
      </c>
      <c r="H40" s="27">
        <f t="shared" ref="H40:H45" si="20">SUM(C40-D40-F40)</f>
        <v>28408149.629999999</v>
      </c>
      <c r="I40" s="30">
        <f t="shared" ref="I40:I46" si="21">SUM(H40/C40)</f>
        <v>0.73256761999580333</v>
      </c>
    </row>
    <row r="41" spans="1:9">
      <c r="A41" s="31" t="s">
        <v>32</v>
      </c>
      <c r="B41" s="6">
        <v>19562500</v>
      </c>
      <c r="C41" s="6">
        <v>19562500</v>
      </c>
      <c r="D41" s="6">
        <v>8532569</v>
      </c>
      <c r="E41" s="17">
        <f t="shared" si="18"/>
        <v>0.43616966134185303</v>
      </c>
      <c r="F41" s="6">
        <v>2392501</v>
      </c>
      <c r="G41" s="18">
        <f t="shared" si="19"/>
        <v>0.12230037060702875</v>
      </c>
      <c r="H41" s="19">
        <f t="shared" si="20"/>
        <v>8637430</v>
      </c>
      <c r="I41" s="20">
        <f t="shared" si="21"/>
        <v>0.44152996805111822</v>
      </c>
    </row>
    <row r="42" spans="1:9">
      <c r="A42" s="26" t="s">
        <v>33</v>
      </c>
      <c r="B42" s="27">
        <v>91000000</v>
      </c>
      <c r="C42" s="27">
        <v>91000000</v>
      </c>
      <c r="D42" s="27">
        <v>31513563</v>
      </c>
      <c r="E42" s="32">
        <f t="shared" si="18"/>
        <v>0.34630289010989013</v>
      </c>
      <c r="F42" s="27">
        <v>4330345</v>
      </c>
      <c r="G42" s="29">
        <f t="shared" si="19"/>
        <v>4.7586208791208791E-2</v>
      </c>
      <c r="H42" s="27">
        <f t="shared" si="20"/>
        <v>55156092</v>
      </c>
      <c r="I42" s="30">
        <f t="shared" si="21"/>
        <v>0.60611090109890109</v>
      </c>
    </row>
    <row r="43" spans="1:9">
      <c r="A43" s="31" t="s">
        <v>34</v>
      </c>
      <c r="B43" s="6">
        <v>56393901</v>
      </c>
      <c r="C43" s="6">
        <v>59932443</v>
      </c>
      <c r="D43" s="6">
        <v>30669243</v>
      </c>
      <c r="E43" s="17">
        <f t="shared" si="18"/>
        <v>0.51173023265545836</v>
      </c>
      <c r="F43" s="6">
        <v>18600253</v>
      </c>
      <c r="G43" s="18">
        <f t="shared" si="19"/>
        <v>0.31035365936943365</v>
      </c>
      <c r="H43" s="19">
        <f t="shared" si="20"/>
        <v>10662947</v>
      </c>
      <c r="I43" s="20">
        <f t="shared" si="21"/>
        <v>0.1779161079751079</v>
      </c>
    </row>
    <row r="44" spans="1:9">
      <c r="A44" s="26" t="s">
        <v>35</v>
      </c>
      <c r="B44" s="27">
        <v>217156348</v>
      </c>
      <c r="C44" s="27">
        <v>217156348</v>
      </c>
      <c r="D44" s="27">
        <v>154977395</v>
      </c>
      <c r="E44" s="29">
        <f t="shared" si="18"/>
        <v>0.71366734809889143</v>
      </c>
      <c r="F44" s="27">
        <v>8294124</v>
      </c>
      <c r="G44" s="29">
        <f t="shared" si="19"/>
        <v>3.8194250715618036E-2</v>
      </c>
      <c r="H44" s="27">
        <f t="shared" si="20"/>
        <v>53884829</v>
      </c>
      <c r="I44" s="30">
        <f t="shared" si="21"/>
        <v>0.24813840118549055</v>
      </c>
    </row>
    <row r="45" spans="1:9">
      <c r="A45" s="31" t="s">
        <v>36</v>
      </c>
      <c r="B45" s="6">
        <v>200000000</v>
      </c>
      <c r="C45" s="6">
        <v>60235481</v>
      </c>
      <c r="D45" s="6">
        <v>36687187</v>
      </c>
      <c r="E45" s="17">
        <f t="shared" si="18"/>
        <v>0.60906273828875046</v>
      </c>
      <c r="F45" s="6">
        <v>8408329</v>
      </c>
      <c r="G45" s="18">
        <f t="shared" si="19"/>
        <v>0.13959096632763671</v>
      </c>
      <c r="H45" s="19">
        <f t="shared" si="20"/>
        <v>15139965</v>
      </c>
      <c r="I45" s="20">
        <f t="shared" si="21"/>
        <v>0.25134629538361286</v>
      </c>
    </row>
    <row r="46" spans="1:9">
      <c r="A46" s="34" t="s">
        <v>15</v>
      </c>
      <c r="B46" s="27">
        <f>SUM(B40:B45)</f>
        <v>622891626</v>
      </c>
      <c r="C46" s="27">
        <f>SUM(C40:C45)</f>
        <v>486665649</v>
      </c>
      <c r="D46" s="27">
        <f>SUM(D40:D45)</f>
        <v>270219448.37</v>
      </c>
      <c r="E46" s="29">
        <f t="shared" si="18"/>
        <v>0.5552466029300539</v>
      </c>
      <c r="F46" s="27">
        <f>SUM(F40:F45)</f>
        <v>44556788</v>
      </c>
      <c r="G46" s="29">
        <f t="shared" si="19"/>
        <v>9.1555235286392686E-2</v>
      </c>
      <c r="H46" s="27">
        <f>SUM(H40:H45)</f>
        <v>171889412.63</v>
      </c>
      <c r="I46" s="30">
        <f t="shared" si="21"/>
        <v>0.35319816178355334</v>
      </c>
    </row>
    <row r="47" spans="1:9">
      <c r="A47" s="5"/>
      <c r="B47" s="6"/>
      <c r="C47" s="6"/>
      <c r="D47" s="6"/>
      <c r="E47" s="7"/>
      <c r="F47" s="6"/>
      <c r="G47" s="7"/>
      <c r="H47" s="6"/>
      <c r="I47" s="8"/>
    </row>
    <row r="48" spans="1:9" ht="15.75">
      <c r="A48" s="9" t="s">
        <v>37</v>
      </c>
      <c r="B48" s="6"/>
      <c r="C48" s="6"/>
      <c r="D48" s="6"/>
      <c r="E48" s="7"/>
      <c r="F48" s="6"/>
      <c r="G48" s="7"/>
      <c r="H48" s="6"/>
      <c r="I48" s="8"/>
    </row>
    <row r="49" spans="1:9">
      <c r="A49" s="26" t="s">
        <v>38</v>
      </c>
      <c r="B49" s="27">
        <v>38778877</v>
      </c>
      <c r="C49" s="27">
        <v>38778877</v>
      </c>
      <c r="D49" s="27">
        <v>2162778.3199999998</v>
      </c>
      <c r="E49" s="29">
        <f t="shared" ref="E49:E55" si="22">D49/C49</f>
        <v>5.5772071996824456E-2</v>
      </c>
      <c r="F49" s="27">
        <v>1793696.42</v>
      </c>
      <c r="G49" s="29">
        <f t="shared" ref="G49:G55" si="23">F49/C49</f>
        <v>4.6254470442761916E-2</v>
      </c>
      <c r="H49" s="27">
        <f t="shared" ref="H49:H54" si="24">SUM(C49-D49-F49)</f>
        <v>34822402.259999998</v>
      </c>
      <c r="I49" s="30">
        <f t="shared" ref="I49:I55" si="25">SUM(H49/C49)</f>
        <v>0.89797345756041358</v>
      </c>
    </row>
    <row r="50" spans="1:9">
      <c r="A50" s="31" t="s">
        <v>39</v>
      </c>
      <c r="B50" s="6">
        <v>19562500</v>
      </c>
      <c r="C50" s="6">
        <v>19562500</v>
      </c>
      <c r="D50" s="6">
        <v>8931737</v>
      </c>
      <c r="E50" s="17">
        <f t="shared" si="22"/>
        <v>0.45657441533546328</v>
      </c>
      <c r="F50" s="6">
        <v>943263</v>
      </c>
      <c r="G50" s="18">
        <f t="shared" si="23"/>
        <v>4.8217916932907348E-2</v>
      </c>
      <c r="H50" s="19">
        <f t="shared" si="24"/>
        <v>9687500</v>
      </c>
      <c r="I50" s="20">
        <f t="shared" si="25"/>
        <v>0.49520766773162939</v>
      </c>
    </row>
    <row r="51" spans="1:9">
      <c r="A51" s="26" t="s">
        <v>40</v>
      </c>
      <c r="B51" s="27">
        <v>91000000</v>
      </c>
      <c r="C51" s="27">
        <v>91000000</v>
      </c>
      <c r="D51" s="27">
        <v>10624197</v>
      </c>
      <c r="E51" s="32">
        <f t="shared" si="22"/>
        <v>0.11674941758241758</v>
      </c>
      <c r="F51" s="27">
        <v>2370519</v>
      </c>
      <c r="G51" s="29">
        <f t="shared" si="23"/>
        <v>2.604965934065934E-2</v>
      </c>
      <c r="H51" s="27">
        <f t="shared" si="24"/>
        <v>78005284</v>
      </c>
      <c r="I51" s="30">
        <f t="shared" si="25"/>
        <v>0.85720092307692308</v>
      </c>
    </row>
    <row r="52" spans="1:9">
      <c r="A52" s="31" t="s">
        <v>41</v>
      </c>
      <c r="B52" s="6">
        <v>56393901</v>
      </c>
      <c r="C52" s="6">
        <v>58765393</v>
      </c>
      <c r="D52" s="6">
        <v>32020908</v>
      </c>
      <c r="E52" s="17">
        <f t="shared" si="22"/>
        <v>0.54489396505865284</v>
      </c>
      <c r="F52" s="6">
        <v>14055123</v>
      </c>
      <c r="G52" s="18">
        <f t="shared" si="23"/>
        <v>0.23917347068537431</v>
      </c>
      <c r="H52" s="19">
        <f t="shared" si="24"/>
        <v>12689362</v>
      </c>
      <c r="I52" s="20">
        <f t="shared" si="25"/>
        <v>0.2159325642559729</v>
      </c>
    </row>
    <row r="53" spans="1:9">
      <c r="A53" s="26" t="s">
        <v>42</v>
      </c>
      <c r="B53" s="27">
        <v>217156348</v>
      </c>
      <c r="C53" s="27">
        <v>217156348</v>
      </c>
      <c r="D53" s="27">
        <v>97731599</v>
      </c>
      <c r="E53" s="29">
        <f t="shared" si="22"/>
        <v>0.45005177099404897</v>
      </c>
      <c r="F53" s="27">
        <v>5413721</v>
      </c>
      <c r="G53" s="29">
        <f t="shared" si="23"/>
        <v>2.4930060989973916E-2</v>
      </c>
      <c r="H53" s="27">
        <f t="shared" si="24"/>
        <v>114011028</v>
      </c>
      <c r="I53" s="30">
        <f t="shared" si="25"/>
        <v>0.52501816801597712</v>
      </c>
    </row>
    <row r="54" spans="1:9">
      <c r="A54" s="31" t="s">
        <v>43</v>
      </c>
      <c r="B54" s="6">
        <v>200000000</v>
      </c>
      <c r="C54" s="6">
        <v>62400000</v>
      </c>
      <c r="D54" s="6">
        <v>18103047</v>
      </c>
      <c r="E54" s="17">
        <f t="shared" si="22"/>
        <v>0.2901129326923077</v>
      </c>
      <c r="F54" s="6">
        <v>2247514</v>
      </c>
      <c r="G54" s="18">
        <f t="shared" si="23"/>
        <v>3.6017852564102566E-2</v>
      </c>
      <c r="H54" s="19">
        <f t="shared" si="24"/>
        <v>42049439</v>
      </c>
      <c r="I54" s="20">
        <f t="shared" si="25"/>
        <v>0.67386921474358974</v>
      </c>
    </row>
    <row r="55" spans="1:9">
      <c r="A55" s="34" t="s">
        <v>15</v>
      </c>
      <c r="B55" s="27">
        <f>SUM(B49:B54)</f>
        <v>622891626</v>
      </c>
      <c r="C55" s="27">
        <f>SUM(C49:C54)</f>
        <v>487663118</v>
      </c>
      <c r="D55" s="27">
        <f>SUM(D49:D54)</f>
        <v>169574266.31999999</v>
      </c>
      <c r="E55" s="29">
        <f t="shared" si="22"/>
        <v>0.34772829861617705</v>
      </c>
      <c r="F55" s="27">
        <f>SUM(F49:F54)</f>
        <v>26823836.420000002</v>
      </c>
      <c r="G55" s="29">
        <f t="shared" si="23"/>
        <v>5.5004849515808578E-2</v>
      </c>
      <c r="H55" s="27">
        <f>SUM(H49:H54)</f>
        <v>291265015.25999999</v>
      </c>
      <c r="I55" s="30">
        <f t="shared" si="25"/>
        <v>0.59726685186801431</v>
      </c>
    </row>
    <row r="56" spans="1:9">
      <c r="A56" s="5"/>
      <c r="B56" s="6"/>
      <c r="C56" s="6"/>
      <c r="D56" s="6"/>
      <c r="E56" s="7"/>
      <c r="F56" s="6"/>
      <c r="G56" s="7"/>
      <c r="H56" s="6"/>
      <c r="I56" s="8"/>
    </row>
    <row r="57" spans="1:9" ht="15.75">
      <c r="A57" s="9" t="s">
        <v>44</v>
      </c>
      <c r="B57" s="6"/>
      <c r="C57" s="6"/>
      <c r="D57" s="6"/>
      <c r="E57" s="7"/>
      <c r="F57" s="6"/>
      <c r="G57" s="7"/>
      <c r="H57" s="6"/>
      <c r="I57" s="8"/>
    </row>
    <row r="58" spans="1:9">
      <c r="A58" s="26" t="s">
        <v>45</v>
      </c>
      <c r="B58" s="27">
        <v>38778877</v>
      </c>
      <c r="C58" s="27">
        <v>38778877</v>
      </c>
      <c r="D58" s="27">
        <v>903724.93</v>
      </c>
      <c r="E58" s="29">
        <f t="shared" ref="E58:E64" si="26">D58/C58</f>
        <v>2.3304566813525829E-2</v>
      </c>
      <c r="F58" s="27">
        <v>1793696.42</v>
      </c>
      <c r="G58" s="29">
        <f t="shared" ref="G58:G64" si="27">F58/C58</f>
        <v>4.6254470442761916E-2</v>
      </c>
      <c r="H58" s="27">
        <v>36081455</v>
      </c>
      <c r="I58" s="30">
        <f t="shared" ref="I58:I64" si="28">SUM(H58/C58)</f>
        <v>0.93044094598200977</v>
      </c>
    </row>
    <row r="59" spans="1:9">
      <c r="A59" s="31" t="s">
        <v>46</v>
      </c>
      <c r="B59" s="6">
        <v>19562500</v>
      </c>
      <c r="C59" s="6">
        <v>19562500</v>
      </c>
      <c r="D59" s="6">
        <v>6464547</v>
      </c>
      <c r="E59" s="17">
        <f t="shared" si="26"/>
        <v>0.3304560766773163</v>
      </c>
      <c r="F59" s="6">
        <v>108872</v>
      </c>
      <c r="G59" s="18">
        <f t="shared" si="27"/>
        <v>5.5653418530351439E-3</v>
      </c>
      <c r="H59" s="6">
        <v>12989081</v>
      </c>
      <c r="I59" s="20">
        <f t="shared" si="28"/>
        <v>0.66397858146964861</v>
      </c>
    </row>
    <row r="60" spans="1:9">
      <c r="A60" s="26" t="s">
        <v>47</v>
      </c>
      <c r="B60" s="27">
        <v>91000000</v>
      </c>
      <c r="C60" s="27">
        <v>91000000</v>
      </c>
      <c r="D60" s="27">
        <v>7089127</v>
      </c>
      <c r="E60" s="29">
        <f t="shared" si="26"/>
        <v>7.790249450549451E-2</v>
      </c>
      <c r="F60" s="27">
        <v>1191692</v>
      </c>
      <c r="G60" s="29">
        <f t="shared" si="27"/>
        <v>1.3095516483516484E-2</v>
      </c>
      <c r="H60" s="27">
        <v>82719181</v>
      </c>
      <c r="I60" s="30">
        <f t="shared" si="28"/>
        <v>0.90900198901098905</v>
      </c>
    </row>
    <row r="61" spans="1:9">
      <c r="A61" s="31" t="s">
        <v>48</v>
      </c>
      <c r="B61" s="6">
        <v>56393901</v>
      </c>
      <c r="C61" s="6">
        <v>57638273</v>
      </c>
      <c r="D61" s="6">
        <v>29712683</v>
      </c>
      <c r="E61" s="17">
        <f t="shared" si="26"/>
        <v>0.51550265914455828</v>
      </c>
      <c r="F61" s="6">
        <v>6544679</v>
      </c>
      <c r="G61" s="18">
        <f t="shared" si="27"/>
        <v>0.11354745136100799</v>
      </c>
      <c r="H61" s="6">
        <v>21380911</v>
      </c>
      <c r="I61" s="20">
        <f t="shared" si="28"/>
        <v>0.37094988949443369</v>
      </c>
    </row>
    <row r="62" spans="1:9">
      <c r="A62" s="26" t="s">
        <v>49</v>
      </c>
      <c r="B62" s="27">
        <v>217156348</v>
      </c>
      <c r="C62" s="27">
        <v>217156348</v>
      </c>
      <c r="D62" s="27">
        <v>17508535</v>
      </c>
      <c r="E62" s="29">
        <f t="shared" si="26"/>
        <v>8.0626401950727219E-2</v>
      </c>
      <c r="F62" s="27">
        <v>2419828</v>
      </c>
      <c r="G62" s="29">
        <f t="shared" si="27"/>
        <v>1.1143252418299096E-2</v>
      </c>
      <c r="H62" s="27">
        <f>SUM(C62-D62-F62)</f>
        <v>197227985</v>
      </c>
      <c r="I62" s="30">
        <f t="shared" si="28"/>
        <v>0.90823034563097371</v>
      </c>
    </row>
    <row r="63" spans="1:9">
      <c r="A63" s="31" t="s">
        <v>50</v>
      </c>
      <c r="B63" s="6">
        <v>200000000</v>
      </c>
      <c r="C63" s="6">
        <v>200000000</v>
      </c>
      <c r="D63" s="6">
        <v>5139554</v>
      </c>
      <c r="E63" s="17">
        <f t="shared" si="26"/>
        <v>2.5697770000000002E-2</v>
      </c>
      <c r="F63" s="6">
        <v>481243</v>
      </c>
      <c r="G63" s="18">
        <f t="shared" si="27"/>
        <v>2.4062150000000002E-3</v>
      </c>
      <c r="H63" s="6">
        <f>SUM(C63-D63-F63)</f>
        <v>194379203</v>
      </c>
      <c r="I63" s="20">
        <f t="shared" si="28"/>
        <v>0.971896015</v>
      </c>
    </row>
    <row r="64" spans="1:9">
      <c r="A64" s="34" t="s">
        <v>15</v>
      </c>
      <c r="B64" s="27">
        <f>SUM(B58:B63)</f>
        <v>622891626</v>
      </c>
      <c r="C64" s="27">
        <f>SUM(C58:C63)</f>
        <v>624135998</v>
      </c>
      <c r="D64" s="27">
        <f>SUM(D58:D63)</f>
        <v>66818170.93</v>
      </c>
      <c r="E64" s="29">
        <f t="shared" si="26"/>
        <v>0.10705706952349189</v>
      </c>
      <c r="F64" s="27">
        <f>SUM(F58:F63)</f>
        <v>12540010.42</v>
      </c>
      <c r="G64" s="29">
        <f t="shared" si="27"/>
        <v>2.0091791629041719E-2</v>
      </c>
      <c r="H64" s="27">
        <f>SUM(H58:H63)</f>
        <v>544777816</v>
      </c>
      <c r="I64" s="30">
        <f t="shared" si="28"/>
        <v>0.87285113780602674</v>
      </c>
    </row>
    <row r="65" spans="1:9">
      <c r="A65" s="5"/>
      <c r="B65" s="6"/>
      <c r="C65" s="6"/>
      <c r="D65" s="6"/>
      <c r="E65" s="7"/>
      <c r="F65" s="6"/>
      <c r="G65" s="7"/>
      <c r="H65" s="6"/>
      <c r="I65" s="8"/>
    </row>
    <row r="66" spans="1:9" ht="15.75">
      <c r="A66" s="9" t="s">
        <v>51</v>
      </c>
      <c r="B66" s="35"/>
      <c r="C66" s="35"/>
      <c r="D66" s="36"/>
      <c r="E66" s="35"/>
      <c r="F66" s="35"/>
      <c r="G66" s="35"/>
      <c r="H66" s="35"/>
      <c r="I66" s="37"/>
    </row>
    <row r="67" spans="1:9">
      <c r="A67" s="26" t="s">
        <v>52</v>
      </c>
      <c r="B67" s="27">
        <v>38778877</v>
      </c>
      <c r="C67" s="27">
        <v>38778877</v>
      </c>
      <c r="D67" s="27">
        <v>0</v>
      </c>
      <c r="E67" s="29">
        <v>0</v>
      </c>
      <c r="F67" s="27">
        <v>0</v>
      </c>
      <c r="G67" s="29">
        <v>0</v>
      </c>
      <c r="H67" s="27">
        <v>38778877</v>
      </c>
      <c r="I67" s="30">
        <v>1</v>
      </c>
    </row>
    <row r="68" spans="1:9">
      <c r="A68" s="5" t="s">
        <v>53</v>
      </c>
      <c r="B68" s="6">
        <v>19562500</v>
      </c>
      <c r="C68" s="6">
        <v>19562500</v>
      </c>
      <c r="D68" s="6">
        <v>644301</v>
      </c>
      <c r="E68" s="38">
        <v>3.2935514376996808E-2</v>
      </c>
      <c r="F68" s="6">
        <v>22694</v>
      </c>
      <c r="G68" s="38">
        <v>1.1600766773162939E-3</v>
      </c>
      <c r="H68" s="6">
        <v>18895505</v>
      </c>
      <c r="I68" s="39">
        <v>0.96590440894568685</v>
      </c>
    </row>
    <row r="69" spans="1:9">
      <c r="A69" s="34" t="s">
        <v>54</v>
      </c>
      <c r="B69" s="27">
        <v>91000000</v>
      </c>
      <c r="C69" s="27">
        <v>91000000</v>
      </c>
      <c r="D69" s="27">
        <v>5978999</v>
      </c>
      <c r="E69" s="29">
        <v>6.5703285714285714E-2</v>
      </c>
      <c r="F69" s="27">
        <v>371487</v>
      </c>
      <c r="G69" s="29">
        <v>4.0822747252747251E-3</v>
      </c>
      <c r="H69" s="27">
        <v>84649514</v>
      </c>
      <c r="I69" s="30">
        <v>0.93021443956043959</v>
      </c>
    </row>
    <row r="70" spans="1:9">
      <c r="A70" s="5" t="s">
        <v>55</v>
      </c>
      <c r="B70" s="6">
        <v>56393901</v>
      </c>
      <c r="C70" s="6">
        <v>56685613</v>
      </c>
      <c r="D70" s="6">
        <v>32900866</v>
      </c>
      <c r="E70" s="38">
        <v>0.5804094594513779</v>
      </c>
      <c r="F70" s="6">
        <v>1985964</v>
      </c>
      <c r="G70" s="38">
        <v>3.5034709777241005E-2</v>
      </c>
      <c r="H70" s="6">
        <v>21798783</v>
      </c>
      <c r="I70" s="39">
        <v>0.38455583077138111</v>
      </c>
    </row>
    <row r="71" spans="1:9">
      <c r="A71" s="34" t="s">
        <v>56</v>
      </c>
      <c r="B71" s="27">
        <v>217156348</v>
      </c>
      <c r="C71" s="27">
        <v>217156348</v>
      </c>
      <c r="D71" s="27">
        <v>12176876</v>
      </c>
      <c r="E71" s="29">
        <v>5.6074234587883194E-2</v>
      </c>
      <c r="F71" s="27">
        <v>511856</v>
      </c>
      <c r="G71" s="29">
        <v>2.3570851357290279E-3</v>
      </c>
      <c r="H71" s="27">
        <v>204467616</v>
      </c>
      <c r="I71" s="30">
        <v>0.94156868027638774</v>
      </c>
    </row>
    <row r="72" spans="1:9">
      <c r="A72" s="5" t="s">
        <v>57</v>
      </c>
      <c r="B72" s="6">
        <v>200000000</v>
      </c>
      <c r="C72" s="6">
        <v>200000000</v>
      </c>
      <c r="D72" s="6">
        <v>1535625</v>
      </c>
      <c r="E72" s="38">
        <v>7.6781250000000001E-3</v>
      </c>
      <c r="F72" s="6">
        <v>98690</v>
      </c>
      <c r="G72" s="38">
        <v>4.9344999999999999E-4</v>
      </c>
      <c r="H72" s="6">
        <v>198959830</v>
      </c>
      <c r="I72" s="39">
        <v>0.99479914999999997</v>
      </c>
    </row>
    <row r="73" spans="1:9">
      <c r="A73" s="34" t="s">
        <v>15</v>
      </c>
      <c r="B73" s="27">
        <v>622891626</v>
      </c>
      <c r="C73" s="27">
        <v>623183338</v>
      </c>
      <c r="D73" s="27">
        <v>53236667</v>
      </c>
      <c r="E73" s="29">
        <v>8.5426974300779529E-2</v>
      </c>
      <c r="F73" s="27">
        <v>2990691</v>
      </c>
      <c r="G73" s="29">
        <v>4.7990548168346569E-3</v>
      </c>
      <c r="H73" s="27">
        <v>567550125</v>
      </c>
      <c r="I73" s="30">
        <v>0.91072737410062143</v>
      </c>
    </row>
    <row r="74" spans="1:9">
      <c r="A74" s="40"/>
      <c r="B74" s="41"/>
      <c r="C74" s="41"/>
      <c r="D74" s="42"/>
      <c r="E74" s="41"/>
      <c r="F74" s="41"/>
      <c r="G74" s="41"/>
      <c r="H74" s="41"/>
      <c r="I74" s="43"/>
    </row>
    <row r="75" spans="1:9" ht="15.75">
      <c r="A75" s="9" t="s">
        <v>58</v>
      </c>
      <c r="B75" s="35"/>
      <c r="C75" s="35"/>
      <c r="D75" s="36"/>
      <c r="E75" s="35"/>
      <c r="F75" s="35"/>
      <c r="G75" s="35"/>
      <c r="H75" s="35"/>
      <c r="I75" s="37"/>
    </row>
    <row r="76" spans="1:9">
      <c r="A76" s="26" t="s">
        <v>59</v>
      </c>
      <c r="B76" s="27">
        <v>38778877</v>
      </c>
      <c r="C76" s="27">
        <v>38778877</v>
      </c>
      <c r="D76" s="27">
        <v>0</v>
      </c>
      <c r="E76" s="29">
        <v>0</v>
      </c>
      <c r="F76" s="27">
        <v>0</v>
      </c>
      <c r="G76" s="29">
        <v>0</v>
      </c>
      <c r="H76" s="27">
        <v>38778877</v>
      </c>
      <c r="I76" s="30">
        <v>1</v>
      </c>
    </row>
    <row r="77" spans="1:9">
      <c r="A77" s="5" t="s">
        <v>60</v>
      </c>
      <c r="B77" s="6">
        <v>19562500</v>
      </c>
      <c r="C77" s="6">
        <v>19562500</v>
      </c>
      <c r="D77" s="6">
        <v>711000</v>
      </c>
      <c r="E77" s="38">
        <v>3.6345047923322681E-2</v>
      </c>
      <c r="F77" s="6">
        <v>0</v>
      </c>
      <c r="G77" s="38">
        <v>0</v>
      </c>
      <c r="H77" s="6">
        <v>18851500</v>
      </c>
      <c r="I77" s="39">
        <v>0.96365495207667728</v>
      </c>
    </row>
    <row r="78" spans="1:9">
      <c r="A78" s="34" t="s">
        <v>61</v>
      </c>
      <c r="B78" s="27">
        <v>91000000</v>
      </c>
      <c r="C78" s="27">
        <v>91000000</v>
      </c>
      <c r="D78" s="27">
        <v>4057560</v>
      </c>
      <c r="E78" s="29">
        <v>4.4588571428571429E-2</v>
      </c>
      <c r="F78" s="27">
        <v>6187</v>
      </c>
      <c r="G78" s="29">
        <v>6.7989010989010987E-5</v>
      </c>
      <c r="H78" s="27">
        <v>86936253</v>
      </c>
      <c r="I78" s="30">
        <v>0.95534343956043954</v>
      </c>
    </row>
    <row r="79" spans="1:9">
      <c r="A79" s="5" t="s">
        <v>62</v>
      </c>
      <c r="B79" s="6">
        <v>56393901</v>
      </c>
      <c r="C79" s="6">
        <v>57644001</v>
      </c>
      <c r="D79" s="6">
        <v>20632937</v>
      </c>
      <c r="E79" s="38">
        <v>0.35793728127927832</v>
      </c>
      <c r="F79" s="6">
        <v>423472</v>
      </c>
      <c r="G79" s="38">
        <v>7.3463325351062984E-3</v>
      </c>
      <c r="H79" s="6">
        <v>36587592</v>
      </c>
      <c r="I79" s="39">
        <v>0.63471638618561543</v>
      </c>
    </row>
    <row r="80" spans="1:9">
      <c r="A80" s="34" t="s">
        <v>63</v>
      </c>
      <c r="B80" s="27">
        <v>217156348</v>
      </c>
      <c r="C80" s="27">
        <v>217156348</v>
      </c>
      <c r="D80" s="27">
        <v>0</v>
      </c>
      <c r="E80" s="29">
        <v>0</v>
      </c>
      <c r="F80" s="27">
        <v>0</v>
      </c>
      <c r="G80" s="29">
        <v>0</v>
      </c>
      <c r="H80" s="27">
        <v>217156348</v>
      </c>
      <c r="I80" s="30">
        <v>1</v>
      </c>
    </row>
    <row r="81" spans="1:9">
      <c r="A81" s="5" t="s">
        <v>64</v>
      </c>
      <c r="B81" s="6">
        <v>200000000</v>
      </c>
      <c r="C81" s="6">
        <v>200000000</v>
      </c>
      <c r="D81" s="6">
        <v>313105</v>
      </c>
      <c r="E81" s="38">
        <v>1.5655249999999999E-3</v>
      </c>
      <c r="F81" s="6" t="s">
        <v>65</v>
      </c>
      <c r="G81" s="35"/>
      <c r="H81" s="6">
        <v>200000000</v>
      </c>
      <c r="I81" s="39">
        <v>1</v>
      </c>
    </row>
    <row r="82" spans="1:9">
      <c r="A82" s="34" t="s">
        <v>15</v>
      </c>
      <c r="B82" s="27">
        <v>622891626</v>
      </c>
      <c r="C82" s="27">
        <v>624141726</v>
      </c>
      <c r="D82" s="27">
        <v>25714602</v>
      </c>
      <c r="E82" s="29">
        <v>4.1199940540427832E-2</v>
      </c>
      <c r="F82" s="27">
        <v>429659</v>
      </c>
      <c r="G82" s="29">
        <v>6.8839973695333421E-4</v>
      </c>
      <c r="H82" s="27">
        <v>598310570</v>
      </c>
      <c r="I82" s="30">
        <v>0.95861331661713001</v>
      </c>
    </row>
    <row r="83" spans="1:9">
      <c r="A83" s="44" t="s">
        <v>66</v>
      </c>
      <c r="B83" s="45"/>
      <c r="C83" s="45"/>
      <c r="D83" s="46"/>
      <c r="E83" s="45"/>
      <c r="F83" s="45"/>
      <c r="G83" s="45"/>
      <c r="H83" s="45"/>
      <c r="I83" s="4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E14" sqref="E14"/>
    </sheetView>
  </sheetViews>
  <sheetFormatPr defaultRowHeight="15"/>
  <cols>
    <col min="2" max="2" width="21.140625" customWidth="1"/>
    <col min="3" max="3" width="21.28515625" customWidth="1"/>
    <col min="4" max="4" width="18.140625" customWidth="1"/>
    <col min="5" max="5" width="32.5703125" customWidth="1"/>
    <col min="6" max="6" width="26" customWidth="1"/>
    <col min="7" max="7" width="20.28515625" customWidth="1"/>
  </cols>
  <sheetData>
    <row r="1" spans="1:14" ht="15.75">
      <c r="A1" s="189"/>
      <c r="B1" s="190" t="s">
        <v>131</v>
      </c>
      <c r="C1" s="411" t="s">
        <v>648</v>
      </c>
      <c r="D1" s="412"/>
      <c r="E1" s="191"/>
      <c r="F1" s="189"/>
      <c r="I1" s="41"/>
    </row>
    <row r="2" spans="1:14" ht="15.75">
      <c r="A2" s="189"/>
      <c r="B2" s="190" t="s">
        <v>78</v>
      </c>
      <c r="C2" s="413">
        <f>'[1]1-Template'!C2</f>
        <v>43084</v>
      </c>
      <c r="D2" s="414"/>
      <c r="E2" s="192"/>
      <c r="F2" s="189"/>
      <c r="G2" s="41"/>
      <c r="H2" s="144"/>
      <c r="I2" s="41"/>
      <c r="J2" s="41"/>
      <c r="M2" s="186"/>
    </row>
    <row r="3" spans="1:14" ht="15.75">
      <c r="A3" s="189"/>
      <c r="B3" s="190" t="s">
        <v>80</v>
      </c>
      <c r="C3" s="415"/>
      <c r="D3" s="416"/>
      <c r="E3" s="193"/>
      <c r="F3" s="189"/>
    </row>
    <row r="4" spans="1:14" ht="15.75">
      <c r="A4" s="189"/>
      <c r="B4" s="194"/>
      <c r="C4" s="195"/>
      <c r="D4" s="196"/>
      <c r="E4" s="196"/>
      <c r="F4" s="189"/>
    </row>
    <row r="5" spans="1:14">
      <c r="A5" s="403" t="s">
        <v>134</v>
      </c>
      <c r="B5" s="528" t="s">
        <v>649</v>
      </c>
      <c r="C5" s="529"/>
      <c r="D5" s="529"/>
      <c r="E5" s="529"/>
      <c r="F5" s="529"/>
      <c r="G5" s="529"/>
      <c r="H5" s="529"/>
      <c r="I5" s="529"/>
      <c r="J5" s="529"/>
      <c r="K5" s="529"/>
      <c r="L5" s="529"/>
      <c r="M5" s="529"/>
      <c r="N5" s="530"/>
    </row>
    <row r="6" spans="1:14">
      <c r="A6" s="404"/>
      <c r="B6" s="531"/>
      <c r="C6" s="532"/>
      <c r="D6" s="532"/>
      <c r="E6" s="532"/>
      <c r="F6" s="532"/>
      <c r="G6" s="532"/>
      <c r="H6" s="532"/>
      <c r="I6" s="532"/>
      <c r="J6" s="532"/>
      <c r="K6" s="532"/>
      <c r="L6" s="532"/>
      <c r="M6" s="532"/>
      <c r="N6" s="533"/>
    </row>
    <row r="7" spans="1:14">
      <c r="A7" s="405"/>
      <c r="B7" s="534"/>
      <c r="C7" s="535"/>
      <c r="D7" s="535"/>
      <c r="E7" s="535"/>
      <c r="F7" s="535"/>
      <c r="G7" s="535"/>
      <c r="H7" s="535"/>
      <c r="I7" s="535"/>
      <c r="J7" s="535"/>
      <c r="K7" s="535"/>
      <c r="L7" s="535"/>
      <c r="M7" s="535"/>
      <c r="N7" s="536"/>
    </row>
    <row r="8" spans="1:14" s="149" customFormat="1" ht="31.5">
      <c r="A8" s="197"/>
      <c r="B8" s="190" t="s">
        <v>83</v>
      </c>
      <c r="C8" s="198" t="s">
        <v>650</v>
      </c>
      <c r="D8" s="198" t="s">
        <v>651</v>
      </c>
      <c r="E8" s="198" t="s">
        <v>652</v>
      </c>
      <c r="F8" s="198" t="s">
        <v>653</v>
      </c>
      <c r="G8" s="198" t="s">
        <v>654</v>
      </c>
      <c r="H8" s="199" t="s">
        <v>655</v>
      </c>
      <c r="I8" s="200"/>
      <c r="J8" s="200"/>
      <c r="K8" s="200"/>
      <c r="L8" s="200"/>
      <c r="M8" s="200"/>
      <c r="N8" s="201"/>
    </row>
    <row r="9" spans="1:14" s="149" customFormat="1" ht="51">
      <c r="A9" s="202">
        <v>1</v>
      </c>
      <c r="B9" s="203" t="s">
        <v>656</v>
      </c>
      <c r="C9" s="204">
        <v>8000000</v>
      </c>
      <c r="D9" s="205">
        <v>6201532</v>
      </c>
      <c r="E9" s="205">
        <v>1008886.6699999999</v>
      </c>
      <c r="F9" s="205">
        <v>5192645.33</v>
      </c>
      <c r="G9" s="205">
        <v>0</v>
      </c>
      <c r="H9" s="411" t="s">
        <v>657</v>
      </c>
      <c r="I9" s="524"/>
      <c r="J9" s="524"/>
      <c r="K9" s="524"/>
      <c r="L9" s="524"/>
      <c r="M9" s="524"/>
      <c r="N9" s="412"/>
    </row>
    <row r="10" spans="1:14" s="149" customFormat="1" ht="51">
      <c r="A10" s="202">
        <v>2</v>
      </c>
      <c r="B10" s="203" t="s">
        <v>658</v>
      </c>
      <c r="C10" s="204">
        <v>3000000</v>
      </c>
      <c r="D10" s="205">
        <v>1733565.6399999997</v>
      </c>
      <c r="E10" s="205">
        <v>167640.2899999998</v>
      </c>
      <c r="F10" s="205">
        <v>1565925.3499999999</v>
      </c>
      <c r="G10" s="205">
        <v>0</v>
      </c>
      <c r="H10" s="411" t="s">
        <v>657</v>
      </c>
      <c r="I10" s="524"/>
      <c r="J10" s="524"/>
      <c r="K10" s="524"/>
      <c r="L10" s="524"/>
      <c r="M10" s="524"/>
      <c r="N10" s="412"/>
    </row>
    <row r="11" spans="1:14" s="149" customFormat="1" ht="38.25">
      <c r="A11" s="202">
        <v>3</v>
      </c>
      <c r="B11" s="203" t="s">
        <v>659</v>
      </c>
      <c r="C11" s="204">
        <v>2250000</v>
      </c>
      <c r="D11" s="205">
        <v>1227859.3400000001</v>
      </c>
      <c r="E11" s="205">
        <v>389873.74000000011</v>
      </c>
      <c r="F11" s="205">
        <v>837985.6</v>
      </c>
      <c r="G11" s="205">
        <v>0</v>
      </c>
      <c r="H11" s="411" t="s">
        <v>657</v>
      </c>
      <c r="I11" s="524"/>
      <c r="J11" s="524"/>
      <c r="K11" s="524"/>
      <c r="L11" s="524"/>
      <c r="M11" s="524"/>
      <c r="N11" s="412"/>
    </row>
    <row r="12" spans="1:14" s="149" customFormat="1" ht="38.25">
      <c r="A12" s="202">
        <v>4</v>
      </c>
      <c r="B12" s="203" t="s">
        <v>660</v>
      </c>
      <c r="C12" s="204">
        <v>7750000</v>
      </c>
      <c r="D12" s="205">
        <v>2831682.7399999998</v>
      </c>
      <c r="E12" s="205">
        <v>394032.6799999997</v>
      </c>
      <c r="F12" s="205">
        <v>2437650.06</v>
      </c>
      <c r="G12" s="205">
        <v>0</v>
      </c>
      <c r="H12" s="411" t="s">
        <v>657</v>
      </c>
      <c r="I12" s="524"/>
      <c r="J12" s="524"/>
      <c r="K12" s="524"/>
      <c r="L12" s="524"/>
      <c r="M12" s="524"/>
      <c r="N12" s="412"/>
    </row>
    <row r="13" spans="1:14" s="149" customFormat="1" ht="38.25">
      <c r="A13" s="202">
        <v>5</v>
      </c>
      <c r="B13" s="206" t="s">
        <v>661</v>
      </c>
      <c r="C13" s="204">
        <v>5500000</v>
      </c>
      <c r="D13" s="205">
        <v>6526605.629999999</v>
      </c>
      <c r="E13" s="207">
        <v>4635717.0999999996</v>
      </c>
      <c r="F13" s="205">
        <v>1890888.5299999998</v>
      </c>
      <c r="G13" s="205">
        <v>0</v>
      </c>
      <c r="H13" s="411" t="s">
        <v>657</v>
      </c>
      <c r="I13" s="524"/>
      <c r="J13" s="524"/>
      <c r="K13" s="524"/>
      <c r="L13" s="524"/>
      <c r="M13" s="524"/>
      <c r="N13" s="412"/>
    </row>
    <row r="14" spans="1:14" s="149" customFormat="1" ht="51">
      <c r="A14" s="202">
        <v>6</v>
      </c>
      <c r="B14" s="206" t="str">
        <f>'[1]1-Template'!C13</f>
        <v>Camp Mabry Readiness Center (Bldg 75), 2200 West 35th Street, Austin, 78703</v>
      </c>
      <c r="C14" s="204">
        <v>8000000</v>
      </c>
      <c r="D14" s="205">
        <v>3499689.58</v>
      </c>
      <c r="E14" s="208">
        <v>3203808</v>
      </c>
      <c r="F14" s="205">
        <v>295881.58</v>
      </c>
      <c r="G14" s="205">
        <v>0</v>
      </c>
      <c r="H14" s="523" t="s">
        <v>657</v>
      </c>
      <c r="I14" s="524"/>
      <c r="J14" s="524"/>
      <c r="K14" s="524"/>
      <c r="L14" s="524"/>
      <c r="M14" s="524"/>
      <c r="N14" s="412"/>
    </row>
    <row r="15" spans="1:14" s="149" customFormat="1" ht="51">
      <c r="A15" s="202">
        <v>7</v>
      </c>
      <c r="B15" s="206" t="str">
        <f>'[1]1-Template'!C14</f>
        <v>El Paso Hondo Pass Readiness Center, 9100 Gateway North, El Paso 79924</v>
      </c>
      <c r="C15" s="204">
        <v>5750000</v>
      </c>
      <c r="D15" s="205">
        <v>3221751.89</v>
      </c>
      <c r="E15" s="208">
        <v>3221500</v>
      </c>
      <c r="F15" s="205">
        <v>251.89</v>
      </c>
      <c r="G15" s="205">
        <v>1.3039880286669359E-10</v>
      </c>
      <c r="H15" s="523" t="s">
        <v>657</v>
      </c>
      <c r="I15" s="524"/>
      <c r="J15" s="524"/>
      <c r="K15" s="524"/>
      <c r="L15" s="524"/>
      <c r="M15" s="524"/>
      <c r="N15" s="412"/>
    </row>
    <row r="16" spans="1:14" s="149" customFormat="1" ht="38.25">
      <c r="A16" s="202">
        <v>8</v>
      </c>
      <c r="B16" s="206" t="str">
        <f>'[1]1-Template'!C15</f>
        <v>Temple Readiness Center, 8502 Airport Road. Temple 76502</v>
      </c>
      <c r="C16" s="204">
        <v>5750000</v>
      </c>
      <c r="D16" s="205">
        <v>5295501.5</v>
      </c>
      <c r="E16" s="208">
        <v>4982245.5600000005</v>
      </c>
      <c r="F16" s="205">
        <v>313255.93999999994</v>
      </c>
      <c r="G16" s="205">
        <v>-4.6566128730773926E-10</v>
      </c>
      <c r="H16" s="523" t="s">
        <v>657</v>
      </c>
      <c r="I16" s="524"/>
      <c r="J16" s="524"/>
      <c r="K16" s="524"/>
      <c r="L16" s="524"/>
      <c r="M16" s="524"/>
      <c r="N16" s="412"/>
    </row>
    <row r="17" spans="1:14" s="149" customFormat="1" ht="38.25">
      <c r="A17" s="202">
        <v>9</v>
      </c>
      <c r="B17" s="206" t="str">
        <f>'[1]1-Template'!C16</f>
        <v>Denison Readiness Center, 1700 Loy Lake, Denison 75020</v>
      </c>
      <c r="C17" s="204">
        <v>2750000</v>
      </c>
      <c r="D17" s="205">
        <v>1478732.5</v>
      </c>
      <c r="E17" s="208">
        <v>1359332.96</v>
      </c>
      <c r="F17" s="205">
        <v>119399.54000000001</v>
      </c>
      <c r="G17" s="205">
        <v>0</v>
      </c>
      <c r="H17" s="523" t="s">
        <v>657</v>
      </c>
      <c r="I17" s="524"/>
      <c r="J17" s="524"/>
      <c r="K17" s="524"/>
      <c r="L17" s="524"/>
      <c r="M17" s="524"/>
      <c r="N17" s="412"/>
    </row>
    <row r="18" spans="1:14" ht="15.75">
      <c r="A18" s="164"/>
      <c r="B18" s="157"/>
      <c r="C18" s="157"/>
      <c r="D18" s="209">
        <f>SUM(D9:D17)</f>
        <v>32016920.82</v>
      </c>
      <c r="E18" s="209">
        <f>SUM(E9:E17)</f>
        <v>19363037</v>
      </c>
      <c r="F18" s="209">
        <f>SUM(F9:F17)</f>
        <v>12653883.819999998</v>
      </c>
      <c r="G18" s="209">
        <f>SUM(G9:G17)</f>
        <v>-3.3526248444104567E-10</v>
      </c>
      <c r="H18" s="525"/>
      <c r="I18" s="526"/>
      <c r="J18" s="526"/>
      <c r="K18" s="526"/>
      <c r="L18" s="526"/>
      <c r="M18" s="526"/>
      <c r="N18" s="527"/>
    </row>
  </sheetData>
  <mergeCells count="15">
    <mergeCell ref="H9:N9"/>
    <mergeCell ref="C1:D1"/>
    <mergeCell ref="C2:D2"/>
    <mergeCell ref="C3:D3"/>
    <mergeCell ref="A5:A7"/>
    <mergeCell ref="B5:N7"/>
    <mergeCell ref="H16:N16"/>
    <mergeCell ref="H17:N17"/>
    <mergeCell ref="H18:N18"/>
    <mergeCell ref="H10:N10"/>
    <mergeCell ref="H11:N11"/>
    <mergeCell ref="H12:N12"/>
    <mergeCell ref="H13:N13"/>
    <mergeCell ref="H14:N14"/>
    <mergeCell ref="H15:N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N34" sqref="N34"/>
    </sheetView>
  </sheetViews>
  <sheetFormatPr defaultRowHeight="15"/>
  <sheetData>
    <row r="1" spans="1:14" ht="50.25" customHeight="1">
      <c r="A1" s="390"/>
      <c r="B1" s="108" t="s">
        <v>131</v>
      </c>
      <c r="C1" s="447" t="s">
        <v>996</v>
      </c>
      <c r="D1" s="448"/>
      <c r="E1" s="109"/>
      <c r="F1" s="107"/>
      <c r="G1" s="107"/>
      <c r="H1" s="107"/>
      <c r="I1" s="111"/>
      <c r="J1" s="107"/>
      <c r="K1" s="107"/>
      <c r="L1" s="107"/>
      <c r="M1" s="107"/>
      <c r="N1" s="107"/>
    </row>
    <row r="2" spans="1:14" ht="15.75">
      <c r="A2" s="390"/>
      <c r="B2" s="108" t="s">
        <v>78</v>
      </c>
      <c r="C2" s="537">
        <v>43084</v>
      </c>
      <c r="D2" s="538"/>
      <c r="E2" s="113"/>
      <c r="F2" s="107"/>
      <c r="G2" s="111"/>
      <c r="H2" s="115"/>
      <c r="I2" s="111"/>
      <c r="J2" s="111"/>
      <c r="K2" s="107"/>
      <c r="L2" s="107"/>
      <c r="M2" s="391"/>
      <c r="N2" s="107"/>
    </row>
    <row r="3" spans="1:14" ht="31.5">
      <c r="A3" s="390"/>
      <c r="B3" s="108" t="s">
        <v>80</v>
      </c>
      <c r="C3" s="451" t="s">
        <v>998</v>
      </c>
      <c r="D3" s="452"/>
      <c r="E3" s="117"/>
      <c r="F3" s="107"/>
      <c r="G3" s="107"/>
      <c r="H3" s="107"/>
      <c r="I3" s="107"/>
      <c r="J3" s="107"/>
      <c r="K3" s="107"/>
      <c r="L3" s="107"/>
      <c r="M3" s="107"/>
      <c r="N3" s="107"/>
    </row>
    <row r="4" spans="1:14" ht="15.75">
      <c r="A4" s="390"/>
      <c r="B4" s="118"/>
      <c r="C4" s="119"/>
      <c r="D4" s="120"/>
      <c r="E4" s="120"/>
      <c r="F4" s="107"/>
      <c r="G4" s="107"/>
      <c r="H4" s="107"/>
      <c r="I4" s="107"/>
      <c r="J4" s="107"/>
      <c r="K4" s="107"/>
      <c r="L4" s="107"/>
      <c r="M4" s="107"/>
      <c r="N4" s="107"/>
    </row>
    <row r="5" spans="1:14">
      <c r="A5" s="539" t="s">
        <v>134</v>
      </c>
      <c r="B5" s="498" t="s">
        <v>515</v>
      </c>
      <c r="C5" s="499"/>
      <c r="D5" s="499"/>
      <c r="E5" s="499"/>
      <c r="F5" s="499"/>
      <c r="G5" s="499"/>
      <c r="H5" s="499"/>
      <c r="I5" s="499"/>
      <c r="J5" s="499"/>
      <c r="K5" s="499"/>
      <c r="L5" s="499"/>
      <c r="M5" s="499"/>
      <c r="N5" s="500"/>
    </row>
    <row r="6" spans="1:14">
      <c r="A6" s="540"/>
      <c r="B6" s="501"/>
      <c r="C6" s="502"/>
      <c r="D6" s="502"/>
      <c r="E6" s="502"/>
      <c r="F6" s="502"/>
      <c r="G6" s="502"/>
      <c r="H6" s="502"/>
      <c r="I6" s="502"/>
      <c r="J6" s="502"/>
      <c r="K6" s="502"/>
      <c r="L6" s="502"/>
      <c r="M6" s="502"/>
      <c r="N6" s="503"/>
    </row>
    <row r="7" spans="1:14">
      <c r="A7" s="541"/>
      <c r="B7" s="504"/>
      <c r="C7" s="505"/>
      <c r="D7" s="505"/>
      <c r="E7" s="505"/>
      <c r="F7" s="505"/>
      <c r="G7" s="505"/>
      <c r="H7" s="505"/>
      <c r="I7" s="505"/>
      <c r="J7" s="505"/>
      <c r="K7" s="505"/>
      <c r="L7" s="505"/>
      <c r="M7" s="505"/>
      <c r="N7" s="506"/>
    </row>
    <row r="8" spans="1:14">
      <c r="A8" s="392">
        <v>12</v>
      </c>
      <c r="B8" s="447" t="s">
        <v>1474</v>
      </c>
      <c r="C8" s="511"/>
      <c r="D8" s="511"/>
      <c r="E8" s="511"/>
      <c r="F8" s="511"/>
      <c r="G8" s="511"/>
      <c r="H8" s="511"/>
      <c r="I8" s="511"/>
      <c r="J8" s="511"/>
      <c r="K8" s="511"/>
      <c r="L8" s="511"/>
      <c r="M8" s="511"/>
      <c r="N8" s="448"/>
    </row>
    <row r="9" spans="1:14">
      <c r="A9" s="392" t="s">
        <v>1475</v>
      </c>
      <c r="B9" s="447" t="s">
        <v>1476</v>
      </c>
      <c r="C9" s="511"/>
      <c r="D9" s="511"/>
      <c r="E9" s="511"/>
      <c r="F9" s="511"/>
      <c r="G9" s="511"/>
      <c r="H9" s="511"/>
      <c r="I9" s="511"/>
      <c r="J9" s="511"/>
      <c r="K9" s="511"/>
      <c r="L9" s="511"/>
      <c r="M9" s="511"/>
      <c r="N9" s="448"/>
    </row>
    <row r="10" spans="1:14">
      <c r="A10" s="392">
        <v>104</v>
      </c>
      <c r="B10" s="447" t="s">
        <v>1477</v>
      </c>
      <c r="C10" s="511"/>
      <c r="D10" s="511"/>
      <c r="E10" s="511"/>
      <c r="F10" s="511"/>
      <c r="G10" s="511"/>
      <c r="H10" s="511"/>
      <c r="I10" s="511"/>
      <c r="J10" s="511"/>
      <c r="K10" s="511"/>
      <c r="L10" s="511"/>
      <c r="M10" s="511"/>
      <c r="N10" s="448"/>
    </row>
    <row r="11" spans="1:14" ht="30">
      <c r="A11" s="393" t="s">
        <v>1478</v>
      </c>
      <c r="B11" s="447" t="s">
        <v>1479</v>
      </c>
      <c r="C11" s="511"/>
      <c r="D11" s="511"/>
      <c r="E11" s="511"/>
      <c r="F11" s="511"/>
      <c r="G11" s="511"/>
      <c r="H11" s="511"/>
      <c r="I11" s="511"/>
      <c r="J11" s="511"/>
      <c r="K11" s="511"/>
      <c r="L11" s="511"/>
      <c r="M11" s="511"/>
      <c r="N11" s="448"/>
    </row>
    <row r="12" spans="1:14">
      <c r="A12" s="392">
        <v>160</v>
      </c>
      <c r="B12" s="447" t="s">
        <v>1480</v>
      </c>
      <c r="C12" s="511"/>
      <c r="D12" s="511"/>
      <c r="E12" s="511"/>
      <c r="F12" s="511"/>
      <c r="G12" s="511"/>
      <c r="H12" s="511"/>
      <c r="I12" s="511"/>
      <c r="J12" s="511"/>
      <c r="K12" s="511"/>
      <c r="L12" s="511"/>
      <c r="M12" s="511"/>
      <c r="N12" s="448"/>
    </row>
    <row r="13" spans="1:14">
      <c r="A13" s="393"/>
      <c r="B13" s="447"/>
      <c r="C13" s="511"/>
      <c r="D13" s="511"/>
      <c r="E13" s="511"/>
      <c r="F13" s="511"/>
      <c r="G13" s="511"/>
      <c r="H13" s="511"/>
      <c r="I13" s="511"/>
      <c r="J13" s="511"/>
      <c r="K13" s="511"/>
      <c r="L13" s="511"/>
      <c r="M13" s="511"/>
      <c r="N13" s="448"/>
    </row>
    <row r="14" spans="1:14">
      <c r="A14" s="393"/>
      <c r="B14" s="447"/>
      <c r="C14" s="511"/>
      <c r="D14" s="511"/>
      <c r="E14" s="511"/>
      <c r="F14" s="511"/>
      <c r="G14" s="511"/>
      <c r="H14" s="511"/>
      <c r="I14" s="511"/>
      <c r="J14" s="511"/>
      <c r="K14" s="511"/>
      <c r="L14" s="511"/>
      <c r="M14" s="511"/>
      <c r="N14" s="448"/>
    </row>
    <row r="15" spans="1:14">
      <c r="A15" s="393"/>
      <c r="B15" s="447"/>
      <c r="C15" s="511"/>
      <c r="D15" s="511"/>
      <c r="E15" s="511"/>
      <c r="F15" s="511"/>
      <c r="G15" s="511"/>
      <c r="H15" s="511"/>
      <c r="I15" s="511"/>
      <c r="J15" s="511"/>
      <c r="K15" s="511"/>
      <c r="L15" s="511"/>
      <c r="M15" s="511"/>
      <c r="N15" s="448"/>
    </row>
    <row r="16" spans="1:14">
      <c r="A16" s="392"/>
      <c r="B16" s="447"/>
      <c r="C16" s="511"/>
      <c r="D16" s="511"/>
      <c r="E16" s="511"/>
      <c r="F16" s="511"/>
      <c r="G16" s="511"/>
      <c r="H16" s="511"/>
      <c r="I16" s="511"/>
      <c r="J16" s="511"/>
      <c r="K16" s="511"/>
      <c r="L16" s="511"/>
      <c r="M16" s="511"/>
      <c r="N16" s="448"/>
    </row>
    <row r="17" spans="1:14">
      <c r="A17" s="392"/>
      <c r="B17" s="447"/>
      <c r="C17" s="511"/>
      <c r="D17" s="511"/>
      <c r="E17" s="511"/>
      <c r="F17" s="511"/>
      <c r="G17" s="511"/>
      <c r="H17" s="511"/>
      <c r="I17" s="511"/>
      <c r="J17" s="511"/>
      <c r="K17" s="511"/>
      <c r="L17" s="511"/>
      <c r="M17" s="511"/>
      <c r="N17" s="448"/>
    </row>
    <row r="18" spans="1:14">
      <c r="A18" s="392"/>
      <c r="B18" s="322"/>
      <c r="C18" s="324"/>
      <c r="D18" s="324"/>
      <c r="E18" s="324"/>
      <c r="F18" s="324"/>
      <c r="G18" s="324"/>
      <c r="H18" s="324"/>
      <c r="I18" s="324"/>
      <c r="J18" s="324"/>
      <c r="K18" s="324"/>
      <c r="L18" s="324"/>
      <c r="M18" s="324"/>
      <c r="N18" s="323"/>
    </row>
    <row r="19" spans="1:14">
      <c r="A19" s="393"/>
      <c r="B19" s="447"/>
      <c r="C19" s="542"/>
      <c r="D19" s="542"/>
      <c r="E19" s="542"/>
      <c r="F19" s="542"/>
      <c r="G19" s="542"/>
      <c r="H19" s="542"/>
      <c r="I19" s="542"/>
      <c r="J19" s="542"/>
      <c r="K19" s="542"/>
      <c r="L19" s="542"/>
      <c r="M19" s="542"/>
      <c r="N19" s="452"/>
    </row>
    <row r="20" spans="1:14">
      <c r="A20" s="392"/>
      <c r="B20" s="447"/>
      <c r="C20" s="511"/>
      <c r="D20" s="511"/>
      <c r="E20" s="511"/>
      <c r="F20" s="511"/>
      <c r="G20" s="511"/>
      <c r="H20" s="511"/>
      <c r="I20" s="511"/>
      <c r="J20" s="511"/>
      <c r="K20" s="511"/>
      <c r="L20" s="511"/>
      <c r="M20" s="511"/>
      <c r="N20" s="448"/>
    </row>
    <row r="21" spans="1:14">
      <c r="A21" s="392"/>
      <c r="B21" s="447"/>
      <c r="C21" s="511"/>
      <c r="D21" s="511"/>
      <c r="E21" s="511"/>
      <c r="F21" s="511"/>
      <c r="G21" s="511"/>
      <c r="H21" s="511"/>
      <c r="I21" s="511"/>
      <c r="J21" s="511"/>
      <c r="K21" s="511"/>
      <c r="L21" s="511"/>
      <c r="M21" s="511"/>
      <c r="N21" s="448"/>
    </row>
    <row r="22" spans="1:14">
      <c r="A22" s="392"/>
      <c r="B22" s="447"/>
      <c r="C22" s="542"/>
      <c r="D22" s="542"/>
      <c r="E22" s="542"/>
      <c r="F22" s="542"/>
      <c r="G22" s="542"/>
      <c r="H22" s="542"/>
      <c r="I22" s="542"/>
      <c r="J22" s="542"/>
      <c r="K22" s="542"/>
      <c r="L22" s="542"/>
      <c r="M22" s="542"/>
      <c r="N22" s="452"/>
    </row>
    <row r="23" spans="1:14">
      <c r="A23" s="392"/>
      <c r="B23" s="447"/>
      <c r="C23" s="511"/>
      <c r="D23" s="511"/>
      <c r="E23" s="511"/>
      <c r="F23" s="511"/>
      <c r="G23" s="511"/>
      <c r="H23" s="511"/>
      <c r="I23" s="511"/>
      <c r="J23" s="511"/>
      <c r="K23" s="511"/>
      <c r="L23" s="511"/>
      <c r="M23" s="511"/>
      <c r="N23" s="448"/>
    </row>
    <row r="24" spans="1:14">
      <c r="A24" s="392"/>
      <c r="B24" s="447"/>
      <c r="C24" s="511"/>
      <c r="D24" s="511"/>
      <c r="E24" s="511"/>
      <c r="F24" s="511"/>
      <c r="G24" s="511"/>
      <c r="H24" s="511"/>
      <c r="I24" s="511"/>
      <c r="J24" s="511"/>
      <c r="K24" s="511"/>
      <c r="L24" s="511"/>
      <c r="M24" s="511"/>
      <c r="N24" s="448"/>
    </row>
    <row r="25" spans="1:14">
      <c r="A25" s="392"/>
      <c r="B25" s="447"/>
      <c r="C25" s="511"/>
      <c r="D25" s="511"/>
      <c r="E25" s="511"/>
      <c r="F25" s="511"/>
      <c r="G25" s="511"/>
      <c r="H25" s="511"/>
      <c r="I25" s="511"/>
      <c r="J25" s="511"/>
      <c r="K25" s="511"/>
      <c r="L25" s="511"/>
      <c r="M25" s="511"/>
      <c r="N25" s="448"/>
    </row>
    <row r="26" spans="1:14">
      <c r="A26" s="392"/>
      <c r="B26" s="447"/>
      <c r="C26" s="511"/>
      <c r="D26" s="511"/>
      <c r="E26" s="511"/>
      <c r="F26" s="511"/>
      <c r="G26" s="511"/>
      <c r="H26" s="511"/>
      <c r="I26" s="511"/>
      <c r="J26" s="511"/>
      <c r="K26" s="511"/>
      <c r="L26" s="511"/>
      <c r="M26" s="511"/>
      <c r="N26" s="448"/>
    </row>
  </sheetData>
  <mergeCells count="23">
    <mergeCell ref="B22:N22"/>
    <mergeCell ref="B23:N23"/>
    <mergeCell ref="B24:N24"/>
    <mergeCell ref="B25:N25"/>
    <mergeCell ref="B26:N26"/>
    <mergeCell ref="B21:N21"/>
    <mergeCell ref="B9:N9"/>
    <mergeCell ref="B10:N10"/>
    <mergeCell ref="B11:N11"/>
    <mergeCell ref="B12:N12"/>
    <mergeCell ref="B13:N13"/>
    <mergeCell ref="B14:N14"/>
    <mergeCell ref="B15:N15"/>
    <mergeCell ref="B16:N16"/>
    <mergeCell ref="B17:N17"/>
    <mergeCell ref="B19:N19"/>
    <mergeCell ref="B20:N20"/>
    <mergeCell ref="B8:N8"/>
    <mergeCell ref="C1:D1"/>
    <mergeCell ref="C2:D2"/>
    <mergeCell ref="C3:D3"/>
    <mergeCell ref="A5:A7"/>
    <mergeCell ref="B5:N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68"/>
  <sheetViews>
    <sheetView topLeftCell="A166" zoomScale="70" zoomScaleNormal="70" workbookViewId="0">
      <selection activeCell="H177" sqref="H177"/>
    </sheetView>
  </sheetViews>
  <sheetFormatPr defaultRowHeight="15"/>
  <cols>
    <col min="3" max="3" width="20.85546875" customWidth="1"/>
    <col min="4" max="4" width="18.42578125" customWidth="1"/>
    <col min="6" max="6" width="15" customWidth="1"/>
    <col min="7" max="7" width="17.7109375" customWidth="1"/>
    <col min="8" max="8" width="18.5703125" customWidth="1"/>
    <col min="9" max="9" width="12.140625" customWidth="1"/>
    <col min="10" max="10" width="13.140625" customWidth="1"/>
    <col min="11" max="11" width="12.7109375" customWidth="1"/>
    <col min="12" max="12" width="14.7109375" customWidth="1"/>
    <col min="13" max="13" width="12.28515625" customWidth="1"/>
    <col min="14" max="14" width="15.5703125" customWidth="1"/>
    <col min="15" max="15" width="13.85546875" customWidth="1"/>
    <col min="16" max="16" width="11" customWidth="1"/>
    <col min="19" max="19" width="13.5703125" customWidth="1"/>
    <col min="20" max="20" width="15.7109375" customWidth="1"/>
    <col min="23" max="23" width="17.85546875" customWidth="1"/>
  </cols>
  <sheetData>
    <row r="1" spans="1:28">
      <c r="A1" s="325"/>
      <c r="B1" s="326" t="s">
        <v>131</v>
      </c>
      <c r="C1" s="394" t="s">
        <v>996</v>
      </c>
      <c r="D1" s="395"/>
      <c r="E1" s="327"/>
      <c r="F1" s="328"/>
      <c r="G1" s="328"/>
      <c r="H1" s="328"/>
      <c r="I1" s="328"/>
      <c r="J1" s="328"/>
      <c r="K1" s="328"/>
      <c r="L1" s="328"/>
      <c r="M1" s="328"/>
      <c r="N1" s="328"/>
      <c r="O1" s="328"/>
      <c r="P1" s="329"/>
      <c r="Q1" s="330"/>
      <c r="R1" s="331"/>
      <c r="S1" s="328"/>
      <c r="T1" s="328"/>
      <c r="U1" s="328"/>
      <c r="V1" s="328"/>
      <c r="W1" s="325"/>
      <c r="X1" s="325"/>
      <c r="Y1" s="328"/>
      <c r="Z1" s="328"/>
      <c r="AA1" s="325"/>
      <c r="AB1" s="325"/>
    </row>
    <row r="2" spans="1:28">
      <c r="A2" s="325"/>
      <c r="B2" s="326" t="s">
        <v>78</v>
      </c>
      <c r="C2" s="396" t="s">
        <v>997</v>
      </c>
      <c r="D2" s="397"/>
      <c r="E2" s="332"/>
      <c r="F2" s="328"/>
      <c r="G2" s="333"/>
      <c r="H2" s="333"/>
      <c r="I2" s="333"/>
      <c r="J2" s="333"/>
      <c r="K2" s="333"/>
      <c r="L2" s="333"/>
      <c r="M2" s="333"/>
      <c r="N2" s="334"/>
      <c r="O2" s="334"/>
      <c r="P2" s="335"/>
      <c r="Q2" s="330"/>
      <c r="R2" s="336"/>
      <c r="S2" s="328"/>
      <c r="T2" s="328"/>
      <c r="U2" s="328"/>
      <c r="V2" s="328"/>
      <c r="W2" s="337"/>
      <c r="X2" s="325"/>
      <c r="Y2" s="328"/>
      <c r="Z2" s="328"/>
      <c r="AA2" s="337"/>
      <c r="AB2" s="325"/>
    </row>
    <row r="3" spans="1:28" ht="25.5">
      <c r="A3" s="325"/>
      <c r="B3" s="326" t="s">
        <v>80</v>
      </c>
      <c r="C3" s="398" t="s">
        <v>998</v>
      </c>
      <c r="D3" s="399"/>
      <c r="E3" s="338"/>
      <c r="F3" s="328"/>
      <c r="G3" s="328"/>
      <c r="H3" s="328"/>
      <c r="I3" s="328"/>
      <c r="J3" s="328"/>
      <c r="K3" s="328"/>
      <c r="L3" s="328"/>
      <c r="M3" s="328"/>
      <c r="N3" s="328"/>
      <c r="O3" s="328"/>
      <c r="P3" s="329"/>
      <c r="Q3" s="339"/>
      <c r="R3" s="331"/>
      <c r="S3" s="340"/>
      <c r="T3" s="340"/>
      <c r="U3" s="340"/>
      <c r="V3" s="340"/>
      <c r="W3" s="325"/>
      <c r="X3" s="325"/>
      <c r="Y3" s="340"/>
      <c r="Z3" s="340"/>
      <c r="AA3" s="325"/>
      <c r="AB3" s="325"/>
    </row>
    <row r="4" spans="1:28">
      <c r="A4" s="325"/>
      <c r="B4" s="341"/>
      <c r="C4" s="342"/>
      <c r="D4" s="325"/>
      <c r="E4" s="325"/>
      <c r="F4" s="328"/>
      <c r="G4" s="328"/>
      <c r="H4" s="328"/>
      <c r="I4" s="328"/>
      <c r="J4" s="328"/>
      <c r="K4" s="328"/>
      <c r="L4" s="328"/>
      <c r="M4" s="328"/>
      <c r="N4" s="328"/>
      <c r="O4" s="328"/>
      <c r="P4" s="329"/>
      <c r="Q4" s="339"/>
      <c r="R4" s="331"/>
      <c r="S4" s="340"/>
      <c r="T4" s="340"/>
      <c r="U4" s="340"/>
      <c r="V4" s="340"/>
      <c r="W4" s="325"/>
      <c r="X4" s="325"/>
      <c r="Y4" s="340"/>
      <c r="Z4" s="340"/>
      <c r="AA4" s="325"/>
      <c r="AB4" s="325"/>
    </row>
    <row r="5" spans="1:28" ht="76.5">
      <c r="A5" s="343" t="s">
        <v>134</v>
      </c>
      <c r="B5" s="343" t="s">
        <v>82</v>
      </c>
      <c r="C5" s="343" t="s">
        <v>83</v>
      </c>
      <c r="D5" s="343" t="s">
        <v>84</v>
      </c>
      <c r="E5" s="343" t="s">
        <v>85</v>
      </c>
      <c r="F5" s="344" t="s">
        <v>0</v>
      </c>
      <c r="G5" s="345" t="s">
        <v>999</v>
      </c>
      <c r="H5" s="345" t="s">
        <v>1000</v>
      </c>
      <c r="I5" s="345" t="s">
        <v>1001</v>
      </c>
      <c r="J5" s="345" t="s">
        <v>1002</v>
      </c>
      <c r="K5" s="345" t="s">
        <v>1003</v>
      </c>
      <c r="L5" s="345" t="s">
        <v>1004</v>
      </c>
      <c r="M5" s="345" t="s">
        <v>1005</v>
      </c>
      <c r="N5" s="346" t="s">
        <v>1006</v>
      </c>
      <c r="O5" s="346" t="s">
        <v>1007</v>
      </c>
      <c r="P5" s="343" t="s">
        <v>88</v>
      </c>
      <c r="Q5" s="347" t="s">
        <v>89</v>
      </c>
      <c r="R5" s="348" t="s">
        <v>136</v>
      </c>
      <c r="S5" s="346" t="s">
        <v>2</v>
      </c>
      <c r="T5" s="346" t="s">
        <v>4</v>
      </c>
      <c r="U5" s="346" t="s">
        <v>91</v>
      </c>
      <c r="V5" s="346" t="s">
        <v>92</v>
      </c>
      <c r="W5" s="343" t="s">
        <v>6</v>
      </c>
      <c r="X5" s="343" t="s">
        <v>137</v>
      </c>
      <c r="Y5" s="346"/>
      <c r="Z5" s="346"/>
      <c r="AA5" s="343"/>
      <c r="AB5" s="343"/>
    </row>
    <row r="6" spans="1:28" s="149" customFormat="1" ht="63.75">
      <c r="A6" s="349">
        <v>1</v>
      </c>
      <c r="B6" s="350" t="s">
        <v>1008</v>
      </c>
      <c r="C6" s="351" t="s">
        <v>1009</v>
      </c>
      <c r="D6" s="352" t="s">
        <v>1010</v>
      </c>
      <c r="E6" s="352" t="s">
        <v>1011</v>
      </c>
      <c r="F6" s="353">
        <v>215000</v>
      </c>
      <c r="G6" s="353">
        <v>215000</v>
      </c>
      <c r="H6" s="353">
        <v>215000</v>
      </c>
      <c r="I6" s="353">
        <v>215000</v>
      </c>
      <c r="J6" s="353">
        <v>215000</v>
      </c>
      <c r="K6" s="353">
        <v>215000</v>
      </c>
      <c r="L6" s="353">
        <v>215000</v>
      </c>
      <c r="M6" s="353">
        <v>215000</v>
      </c>
      <c r="N6" s="354">
        <v>215000</v>
      </c>
      <c r="O6" s="354">
        <v>215000</v>
      </c>
      <c r="P6" s="355" t="s">
        <v>1012</v>
      </c>
      <c r="Q6" s="356" t="s">
        <v>794</v>
      </c>
      <c r="R6" s="357" t="s">
        <v>794</v>
      </c>
      <c r="S6" s="358">
        <v>0</v>
      </c>
      <c r="T6" s="358">
        <v>144462.41</v>
      </c>
      <c r="U6" s="358">
        <v>0</v>
      </c>
      <c r="V6" s="358"/>
      <c r="W6" s="359">
        <f t="shared" ref="W6:W69" si="0">O6-S6-T6</f>
        <v>70537.59</v>
      </c>
      <c r="X6" s="350" t="s">
        <v>599</v>
      </c>
      <c r="Y6" s="358"/>
      <c r="Z6" s="358"/>
      <c r="AA6" s="359"/>
      <c r="AB6" s="350"/>
    </row>
    <row r="7" spans="1:28" s="149" customFormat="1" ht="102">
      <c r="A7" s="349">
        <v>2</v>
      </c>
      <c r="B7" s="349" t="s">
        <v>1013</v>
      </c>
      <c r="C7" s="360" t="s">
        <v>1014</v>
      </c>
      <c r="D7" s="360" t="s">
        <v>1015</v>
      </c>
      <c r="E7" s="352" t="s">
        <v>1011</v>
      </c>
      <c r="F7" s="361">
        <v>780000</v>
      </c>
      <c r="G7" s="361">
        <v>780000</v>
      </c>
      <c r="H7" s="361">
        <v>780000</v>
      </c>
      <c r="I7" s="361">
        <v>780000</v>
      </c>
      <c r="J7" s="361">
        <v>780000</v>
      </c>
      <c r="K7" s="361">
        <v>780000</v>
      </c>
      <c r="L7" s="361">
        <v>780000</v>
      </c>
      <c r="M7" s="361">
        <v>780000</v>
      </c>
      <c r="N7" s="362">
        <v>780000</v>
      </c>
      <c r="O7" s="362">
        <v>780000</v>
      </c>
      <c r="P7" s="363">
        <v>43101</v>
      </c>
      <c r="Q7" s="356">
        <v>1</v>
      </c>
      <c r="R7" s="357">
        <v>0.75</v>
      </c>
      <c r="S7" s="358"/>
      <c r="T7" s="358">
        <v>780000</v>
      </c>
      <c r="U7" s="358"/>
      <c r="V7" s="358"/>
      <c r="W7" s="359">
        <f t="shared" si="0"/>
        <v>0</v>
      </c>
      <c r="X7" s="350" t="s">
        <v>599</v>
      </c>
      <c r="Y7" s="358"/>
      <c r="Z7" s="358"/>
      <c r="AA7" s="359"/>
      <c r="AB7" s="350"/>
    </row>
    <row r="8" spans="1:28" s="149" customFormat="1" ht="76.5">
      <c r="A8" s="349">
        <v>3</v>
      </c>
      <c r="B8" s="350" t="s">
        <v>1016</v>
      </c>
      <c r="C8" s="351" t="s">
        <v>1017</v>
      </c>
      <c r="D8" s="352" t="s">
        <v>1018</v>
      </c>
      <c r="E8" s="352" t="s">
        <v>1011</v>
      </c>
      <c r="F8" s="353">
        <v>250000</v>
      </c>
      <c r="G8" s="353">
        <v>250000</v>
      </c>
      <c r="H8" s="353">
        <v>625000</v>
      </c>
      <c r="I8" s="353">
        <v>625000</v>
      </c>
      <c r="J8" s="353">
        <v>625000</v>
      </c>
      <c r="K8" s="353">
        <v>625000</v>
      </c>
      <c r="L8" s="353">
        <v>625000</v>
      </c>
      <c r="M8" s="353">
        <v>625000</v>
      </c>
      <c r="N8" s="354">
        <v>625000</v>
      </c>
      <c r="O8" s="354">
        <v>625000</v>
      </c>
      <c r="P8" s="363">
        <v>42899</v>
      </c>
      <c r="Q8" s="356">
        <v>1</v>
      </c>
      <c r="R8" s="357">
        <v>1</v>
      </c>
      <c r="S8" s="358"/>
      <c r="T8" s="358">
        <v>625000</v>
      </c>
      <c r="U8" s="358"/>
      <c r="V8" s="358"/>
      <c r="W8" s="359">
        <f t="shared" si="0"/>
        <v>0</v>
      </c>
      <c r="X8" s="350" t="s">
        <v>599</v>
      </c>
      <c r="Y8" s="358"/>
      <c r="Z8" s="358"/>
      <c r="AA8" s="359"/>
      <c r="AB8" s="350"/>
    </row>
    <row r="9" spans="1:28" s="149" customFormat="1" ht="76.5">
      <c r="A9" s="349">
        <v>4</v>
      </c>
      <c r="B9" s="350" t="s">
        <v>1019</v>
      </c>
      <c r="C9" s="351" t="s">
        <v>1020</v>
      </c>
      <c r="D9" s="352" t="s">
        <v>1021</v>
      </c>
      <c r="E9" s="352" t="s">
        <v>1011</v>
      </c>
      <c r="F9" s="353">
        <v>200000</v>
      </c>
      <c r="G9" s="353">
        <v>200000</v>
      </c>
      <c r="H9" s="353">
        <v>200000</v>
      </c>
      <c r="I9" s="353">
        <v>200000</v>
      </c>
      <c r="J9" s="353">
        <v>200000</v>
      </c>
      <c r="K9" s="353">
        <v>200000</v>
      </c>
      <c r="L9" s="353">
        <v>317530</v>
      </c>
      <c r="M9" s="353">
        <v>317530</v>
      </c>
      <c r="N9" s="354">
        <f>9833+317530+9993.12</f>
        <v>337356.12</v>
      </c>
      <c r="O9" s="354">
        <f>9833+317530+9993.12</f>
        <v>337356.12</v>
      </c>
      <c r="P9" s="363">
        <v>42990</v>
      </c>
      <c r="Q9" s="356">
        <v>1</v>
      </c>
      <c r="R9" s="357">
        <v>1</v>
      </c>
      <c r="S9" s="364"/>
      <c r="T9" s="364">
        <f>9833+317530+7376.4+577.1+4000+1150.13</f>
        <v>340466.63</v>
      </c>
      <c r="U9" s="364"/>
      <c r="V9" s="364"/>
      <c r="W9" s="359">
        <f t="shared" si="0"/>
        <v>-3110.5100000000093</v>
      </c>
      <c r="X9" s="350" t="s">
        <v>599</v>
      </c>
      <c r="Y9" s="364"/>
      <c r="Z9" s="364"/>
      <c r="AA9" s="359"/>
      <c r="AB9" s="350"/>
    </row>
    <row r="10" spans="1:28" s="149" customFormat="1" ht="153">
      <c r="A10" s="349">
        <v>5</v>
      </c>
      <c r="B10" s="349" t="s">
        <v>1022</v>
      </c>
      <c r="C10" s="351" t="s">
        <v>1023</v>
      </c>
      <c r="D10" s="352" t="s">
        <v>1024</v>
      </c>
      <c r="E10" s="352" t="s">
        <v>1025</v>
      </c>
      <c r="F10" s="353">
        <v>0</v>
      </c>
      <c r="G10" s="353">
        <v>0</v>
      </c>
      <c r="H10" s="353"/>
      <c r="I10" s="353">
        <v>1300000</v>
      </c>
      <c r="J10" s="353">
        <v>1300000</v>
      </c>
      <c r="K10" s="353">
        <v>1300000</v>
      </c>
      <c r="L10" s="353">
        <v>1300000</v>
      </c>
      <c r="M10" s="353">
        <v>1300000</v>
      </c>
      <c r="N10" s="354">
        <v>1300000</v>
      </c>
      <c r="O10" s="354">
        <v>1300000</v>
      </c>
      <c r="P10" s="363">
        <v>42736</v>
      </c>
      <c r="Q10" s="356">
        <v>1</v>
      </c>
      <c r="R10" s="357">
        <v>1</v>
      </c>
      <c r="S10" s="358"/>
      <c r="T10" s="358">
        <f>3191.07+1629421.46</f>
        <v>1632612.53</v>
      </c>
      <c r="U10" s="358"/>
      <c r="V10" s="358"/>
      <c r="W10" s="359">
        <f t="shared" si="0"/>
        <v>-332612.53000000003</v>
      </c>
      <c r="X10" s="350" t="s">
        <v>599</v>
      </c>
      <c r="Y10" s="358"/>
      <c r="Z10" s="358"/>
      <c r="AA10" s="359"/>
      <c r="AB10" s="350"/>
    </row>
    <row r="11" spans="1:28" s="149" customFormat="1" ht="153">
      <c r="A11" s="349">
        <v>6</v>
      </c>
      <c r="B11" s="349" t="s">
        <v>1026</v>
      </c>
      <c r="C11" s="351" t="s">
        <v>1027</v>
      </c>
      <c r="D11" s="352" t="s">
        <v>1028</v>
      </c>
      <c r="E11" s="352" t="s">
        <v>1025</v>
      </c>
      <c r="F11" s="353">
        <v>0</v>
      </c>
      <c r="G11" s="353">
        <v>0</v>
      </c>
      <c r="H11" s="353"/>
      <c r="I11" s="353">
        <v>2182097</v>
      </c>
      <c r="J11" s="353">
        <v>2182097</v>
      </c>
      <c r="K11" s="353">
        <v>2182097</v>
      </c>
      <c r="L11" s="353">
        <v>2182097</v>
      </c>
      <c r="M11" s="353">
        <v>2182097</v>
      </c>
      <c r="N11" s="354">
        <v>2182097</v>
      </c>
      <c r="O11" s="354">
        <v>2182097</v>
      </c>
      <c r="P11" s="355" t="s">
        <v>1029</v>
      </c>
      <c r="Q11" s="356">
        <v>0.95</v>
      </c>
      <c r="R11" s="357">
        <v>0</v>
      </c>
      <c r="S11" s="358">
        <v>213026.64</v>
      </c>
      <c r="T11" s="358">
        <v>72473.36</v>
      </c>
      <c r="U11" s="358"/>
      <c r="V11" s="358"/>
      <c r="W11" s="359">
        <f t="shared" si="0"/>
        <v>1896596.9999999998</v>
      </c>
      <c r="X11" s="350" t="s">
        <v>599</v>
      </c>
      <c r="Y11" s="358"/>
      <c r="Z11" s="358"/>
      <c r="AA11" s="359"/>
      <c r="AB11" s="350"/>
    </row>
    <row r="12" spans="1:28" s="149" customFormat="1" ht="89.25">
      <c r="A12" s="349">
        <v>7</v>
      </c>
      <c r="B12" s="349" t="s">
        <v>1030</v>
      </c>
      <c r="C12" s="351" t="s">
        <v>1031</v>
      </c>
      <c r="D12" s="352" t="s">
        <v>1032</v>
      </c>
      <c r="E12" s="352" t="s">
        <v>1011</v>
      </c>
      <c r="F12" s="353">
        <v>0</v>
      </c>
      <c r="G12" s="353">
        <v>0</v>
      </c>
      <c r="H12" s="353">
        <v>1750000</v>
      </c>
      <c r="I12" s="353">
        <v>1750000</v>
      </c>
      <c r="J12" s="353">
        <v>1750000</v>
      </c>
      <c r="K12" s="353">
        <v>1750000</v>
      </c>
      <c r="L12" s="353">
        <v>1750000</v>
      </c>
      <c r="M12" s="353">
        <v>1750000</v>
      </c>
      <c r="N12" s="354">
        <v>1750000</v>
      </c>
      <c r="O12" s="354">
        <v>1750000</v>
      </c>
      <c r="P12" s="363">
        <v>43100</v>
      </c>
      <c r="Q12" s="356">
        <v>1</v>
      </c>
      <c r="R12" s="357">
        <v>0.95</v>
      </c>
      <c r="S12" s="358">
        <v>0</v>
      </c>
      <c r="T12" s="358">
        <v>1750000</v>
      </c>
      <c r="U12" s="358">
        <v>0</v>
      </c>
      <c r="V12" s="358"/>
      <c r="W12" s="359">
        <f t="shared" si="0"/>
        <v>0</v>
      </c>
      <c r="X12" s="350" t="s">
        <v>599</v>
      </c>
      <c r="Y12" s="358"/>
      <c r="Z12" s="358"/>
      <c r="AA12" s="359"/>
      <c r="AB12" s="350"/>
    </row>
    <row r="13" spans="1:28" s="149" customFormat="1" ht="102">
      <c r="A13" s="349">
        <v>8</v>
      </c>
      <c r="B13" s="365">
        <v>0</v>
      </c>
      <c r="C13" s="351" t="s">
        <v>1033</v>
      </c>
      <c r="D13" s="352" t="s">
        <v>1034</v>
      </c>
      <c r="E13" s="352" t="s">
        <v>1011</v>
      </c>
      <c r="F13" s="353">
        <v>0</v>
      </c>
      <c r="G13" s="353">
        <v>0</v>
      </c>
      <c r="H13" s="353"/>
      <c r="I13" s="353">
        <v>150000</v>
      </c>
      <c r="J13" s="353">
        <v>150000</v>
      </c>
      <c r="K13" s="353">
        <v>150000</v>
      </c>
      <c r="L13" s="353">
        <v>150000</v>
      </c>
      <c r="M13" s="353">
        <v>150000</v>
      </c>
      <c r="N13" s="354">
        <v>150000</v>
      </c>
      <c r="O13" s="354">
        <v>150000</v>
      </c>
      <c r="P13" s="363">
        <v>42886</v>
      </c>
      <c r="Q13" s="356">
        <v>1</v>
      </c>
      <c r="R13" s="357">
        <v>1</v>
      </c>
      <c r="S13" s="358">
        <v>0</v>
      </c>
      <c r="T13" s="358">
        <v>150000</v>
      </c>
      <c r="U13" s="358">
        <v>0</v>
      </c>
      <c r="V13" s="358"/>
      <c r="W13" s="359">
        <f t="shared" si="0"/>
        <v>0</v>
      </c>
      <c r="X13" s="350" t="s">
        <v>599</v>
      </c>
      <c r="Y13" s="358"/>
      <c r="Z13" s="358"/>
      <c r="AA13" s="359"/>
      <c r="AB13" s="350"/>
    </row>
    <row r="14" spans="1:28" s="149" customFormat="1" ht="63.75">
      <c r="A14" s="349">
        <v>9</v>
      </c>
      <c r="B14" s="350" t="s">
        <v>1035</v>
      </c>
      <c r="C14" s="351" t="s">
        <v>1036</v>
      </c>
      <c r="D14" s="352" t="s">
        <v>1037</v>
      </c>
      <c r="E14" s="352" t="s">
        <v>1011</v>
      </c>
      <c r="F14" s="353">
        <v>400000</v>
      </c>
      <c r="G14" s="353">
        <v>400000</v>
      </c>
      <c r="H14" s="353">
        <v>400000</v>
      </c>
      <c r="I14" s="353">
        <v>400000</v>
      </c>
      <c r="J14" s="353">
        <v>400000</v>
      </c>
      <c r="K14" s="353">
        <v>400000</v>
      </c>
      <c r="L14" s="353">
        <v>400000</v>
      </c>
      <c r="M14" s="353">
        <v>400000</v>
      </c>
      <c r="N14" s="354">
        <v>400000</v>
      </c>
      <c r="O14" s="354">
        <v>400000</v>
      </c>
      <c r="P14" s="363" t="s">
        <v>1029</v>
      </c>
      <c r="Q14" s="356">
        <v>0</v>
      </c>
      <c r="R14" s="357">
        <v>0</v>
      </c>
      <c r="S14" s="364">
        <v>0</v>
      </c>
      <c r="T14" s="364">
        <v>400000</v>
      </c>
      <c r="U14" s="364">
        <v>0</v>
      </c>
      <c r="V14" s="364"/>
      <c r="W14" s="359">
        <f t="shared" si="0"/>
        <v>0</v>
      </c>
      <c r="X14" s="350" t="s">
        <v>599</v>
      </c>
      <c r="Y14" s="364"/>
      <c r="Z14" s="364"/>
      <c r="AA14" s="359"/>
      <c r="AB14" s="350"/>
    </row>
    <row r="15" spans="1:28" s="149" customFormat="1" ht="63.75">
      <c r="A15" s="349">
        <v>10</v>
      </c>
      <c r="B15" s="350" t="s">
        <v>1038</v>
      </c>
      <c r="C15" s="351" t="s">
        <v>1039</v>
      </c>
      <c r="D15" s="352" t="s">
        <v>1040</v>
      </c>
      <c r="E15" s="352" t="s">
        <v>1011</v>
      </c>
      <c r="F15" s="353">
        <v>302623</v>
      </c>
      <c r="G15" s="353">
        <v>302623</v>
      </c>
      <c r="H15" s="353">
        <v>302623</v>
      </c>
      <c r="I15" s="353">
        <v>302623</v>
      </c>
      <c r="J15" s="353">
        <v>302623</v>
      </c>
      <c r="K15" s="353">
        <v>302623</v>
      </c>
      <c r="L15" s="353">
        <v>302623</v>
      </c>
      <c r="M15" s="353">
        <v>302623</v>
      </c>
      <c r="N15" s="354">
        <v>302623</v>
      </c>
      <c r="O15" s="354">
        <v>302623</v>
      </c>
      <c r="P15" s="363" t="s">
        <v>1029</v>
      </c>
      <c r="Q15" s="356">
        <v>0</v>
      </c>
      <c r="R15" s="357">
        <v>0</v>
      </c>
      <c r="S15" s="364">
        <v>0</v>
      </c>
      <c r="T15" s="364">
        <v>302623</v>
      </c>
      <c r="U15" s="364">
        <v>0</v>
      </c>
      <c r="V15" s="364"/>
      <c r="W15" s="359">
        <f t="shared" si="0"/>
        <v>0</v>
      </c>
      <c r="X15" s="350" t="s">
        <v>599</v>
      </c>
      <c r="Y15" s="364"/>
      <c r="Z15" s="364"/>
      <c r="AA15" s="359"/>
      <c r="AB15" s="350"/>
    </row>
    <row r="16" spans="1:28" s="149" customFormat="1" ht="89.25">
      <c r="A16" s="349">
        <v>11</v>
      </c>
      <c r="B16" s="350" t="s">
        <v>1041</v>
      </c>
      <c r="C16" s="351" t="s">
        <v>1042</v>
      </c>
      <c r="D16" s="352" t="s">
        <v>1043</v>
      </c>
      <c r="E16" s="352" t="s">
        <v>1011</v>
      </c>
      <c r="F16" s="353">
        <v>200000</v>
      </c>
      <c r="G16" s="353">
        <v>200000</v>
      </c>
      <c r="H16" s="353">
        <v>200000</v>
      </c>
      <c r="I16" s="353">
        <v>200000</v>
      </c>
      <c r="J16" s="353">
        <v>200000</v>
      </c>
      <c r="K16" s="353">
        <v>200000</v>
      </c>
      <c r="L16" s="353">
        <v>180344</v>
      </c>
      <c r="M16" s="353">
        <v>180344</v>
      </c>
      <c r="N16" s="354">
        <v>182157.5</v>
      </c>
      <c r="O16" s="354">
        <v>182157.5</v>
      </c>
      <c r="P16" s="363">
        <v>42824</v>
      </c>
      <c r="Q16" s="356">
        <v>1</v>
      </c>
      <c r="R16" s="357">
        <v>1</v>
      </c>
      <c r="S16" s="364"/>
      <c r="T16" s="364">
        <f>6208.66+174135.34</f>
        <v>180344</v>
      </c>
      <c r="U16" s="364"/>
      <c r="V16" s="364"/>
      <c r="W16" s="359">
        <f t="shared" si="0"/>
        <v>1813.5</v>
      </c>
      <c r="X16" s="350" t="s">
        <v>599</v>
      </c>
      <c r="Y16" s="364"/>
      <c r="Z16" s="364"/>
      <c r="AA16" s="359"/>
      <c r="AB16" s="350"/>
    </row>
    <row r="17" spans="1:28" s="149" customFormat="1" ht="76.5">
      <c r="A17" s="349">
        <v>12</v>
      </c>
      <c r="B17" s="350" t="s">
        <v>1044</v>
      </c>
      <c r="C17" s="351" t="s">
        <v>1045</v>
      </c>
      <c r="D17" s="352" t="s">
        <v>1046</v>
      </c>
      <c r="E17" s="352" t="s">
        <v>1011</v>
      </c>
      <c r="F17" s="353">
        <v>315000</v>
      </c>
      <c r="G17" s="353">
        <v>315000</v>
      </c>
      <c r="H17" s="353">
        <v>315000</v>
      </c>
      <c r="I17" s="353">
        <v>315000</v>
      </c>
      <c r="J17" s="353">
        <v>315000</v>
      </c>
      <c r="K17" s="353">
        <v>315000</v>
      </c>
      <c r="L17" s="353">
        <v>315000</v>
      </c>
      <c r="M17" s="353">
        <v>315000</v>
      </c>
      <c r="N17" s="354">
        <v>315000</v>
      </c>
      <c r="O17" s="354">
        <v>315000</v>
      </c>
      <c r="P17" s="363">
        <v>43100</v>
      </c>
      <c r="Q17" s="356">
        <v>1</v>
      </c>
      <c r="R17" s="357">
        <v>0.95</v>
      </c>
      <c r="S17" s="365">
        <v>192396</v>
      </c>
      <c r="T17" s="364">
        <v>0</v>
      </c>
      <c r="U17" s="365"/>
      <c r="V17" s="364"/>
      <c r="W17" s="359">
        <f t="shared" si="0"/>
        <v>122604</v>
      </c>
      <c r="X17" s="350" t="s">
        <v>599</v>
      </c>
      <c r="Y17" s="365"/>
      <c r="Z17" s="364"/>
      <c r="AA17" s="359"/>
      <c r="AB17" s="350"/>
    </row>
    <row r="18" spans="1:28" s="149" customFormat="1" ht="102">
      <c r="A18" s="349">
        <v>13</v>
      </c>
      <c r="B18" s="350" t="s">
        <v>1047</v>
      </c>
      <c r="C18" s="351" t="s">
        <v>1048</v>
      </c>
      <c r="D18" s="352" t="s">
        <v>1049</v>
      </c>
      <c r="E18" s="352" t="s">
        <v>1011</v>
      </c>
      <c r="F18" s="353">
        <v>150000</v>
      </c>
      <c r="G18" s="353">
        <v>150000</v>
      </c>
      <c r="H18" s="353">
        <v>150000</v>
      </c>
      <c r="I18" s="353">
        <v>150000</v>
      </c>
      <c r="J18" s="353">
        <v>150000</v>
      </c>
      <c r="K18" s="353">
        <v>150000</v>
      </c>
      <c r="L18" s="353">
        <v>150000</v>
      </c>
      <c r="M18" s="353">
        <v>150000</v>
      </c>
      <c r="N18" s="354">
        <v>150000</v>
      </c>
      <c r="O18" s="354">
        <v>150000</v>
      </c>
      <c r="P18" s="363">
        <v>43027</v>
      </c>
      <c r="Q18" s="356">
        <v>1</v>
      </c>
      <c r="R18" s="357">
        <v>1</v>
      </c>
      <c r="S18" s="364"/>
      <c r="T18" s="364">
        <v>111202</v>
      </c>
      <c r="U18" s="364"/>
      <c r="V18" s="364"/>
      <c r="W18" s="359">
        <f t="shared" si="0"/>
        <v>38798</v>
      </c>
      <c r="X18" s="350" t="s">
        <v>599</v>
      </c>
      <c r="Y18" s="364"/>
      <c r="Z18" s="364"/>
      <c r="AA18" s="359"/>
      <c r="AB18" s="350"/>
    </row>
    <row r="19" spans="1:28" s="149" customFormat="1" ht="76.5">
      <c r="A19" s="349">
        <v>14</v>
      </c>
      <c r="B19" s="350" t="s">
        <v>1050</v>
      </c>
      <c r="C19" s="351" t="s">
        <v>1051</v>
      </c>
      <c r="D19" s="352" t="s">
        <v>1040</v>
      </c>
      <c r="E19" s="352" t="s">
        <v>1011</v>
      </c>
      <c r="F19" s="353">
        <v>260000</v>
      </c>
      <c r="G19" s="353">
        <v>260000</v>
      </c>
      <c r="H19" s="353">
        <v>260000</v>
      </c>
      <c r="I19" s="353">
        <v>260000</v>
      </c>
      <c r="J19" s="353">
        <v>260000</v>
      </c>
      <c r="K19" s="353">
        <v>260000</v>
      </c>
      <c r="L19" s="353">
        <v>260000</v>
      </c>
      <c r="M19" s="353">
        <v>260000</v>
      </c>
      <c r="N19" s="354">
        <v>260000</v>
      </c>
      <c r="O19" s="354">
        <v>260000</v>
      </c>
      <c r="P19" s="363" t="s">
        <v>1029</v>
      </c>
      <c r="Q19" s="356">
        <v>0</v>
      </c>
      <c r="R19" s="357">
        <v>0</v>
      </c>
      <c r="S19" s="364">
        <v>0</v>
      </c>
      <c r="T19" s="364">
        <v>260000</v>
      </c>
      <c r="U19" s="364">
        <v>0</v>
      </c>
      <c r="V19" s="364"/>
      <c r="W19" s="359">
        <f t="shared" si="0"/>
        <v>0</v>
      </c>
      <c r="X19" s="350" t="s">
        <v>599</v>
      </c>
      <c r="Y19" s="364"/>
      <c r="Z19" s="364"/>
      <c r="AA19" s="359"/>
      <c r="AB19" s="350"/>
    </row>
    <row r="20" spans="1:28" s="149" customFormat="1" ht="63.75">
      <c r="A20" s="349">
        <v>15</v>
      </c>
      <c r="B20" s="350" t="s">
        <v>1052</v>
      </c>
      <c r="C20" s="351" t="s">
        <v>1053</v>
      </c>
      <c r="D20" s="352" t="s">
        <v>1054</v>
      </c>
      <c r="E20" s="352" t="s">
        <v>1011</v>
      </c>
      <c r="F20" s="353">
        <v>325000</v>
      </c>
      <c r="G20" s="353">
        <v>325000</v>
      </c>
      <c r="H20" s="353">
        <v>325000</v>
      </c>
      <c r="I20" s="353">
        <v>325000</v>
      </c>
      <c r="J20" s="353">
        <v>325000</v>
      </c>
      <c r="K20" s="353">
        <v>325000</v>
      </c>
      <c r="L20" s="353">
        <v>325000</v>
      </c>
      <c r="M20" s="353">
        <v>325000</v>
      </c>
      <c r="N20" s="354">
        <v>325000</v>
      </c>
      <c r="O20" s="354">
        <v>325000</v>
      </c>
      <c r="P20" s="363">
        <v>42870</v>
      </c>
      <c r="Q20" s="356">
        <v>1</v>
      </c>
      <c r="R20" s="357">
        <v>1</v>
      </c>
      <c r="S20" s="364">
        <v>0</v>
      </c>
      <c r="T20" s="364">
        <v>65826</v>
      </c>
      <c r="U20" s="364">
        <v>0</v>
      </c>
      <c r="V20" s="364"/>
      <c r="W20" s="359">
        <f t="shared" si="0"/>
        <v>259174</v>
      </c>
      <c r="X20" s="350" t="s">
        <v>599</v>
      </c>
      <c r="Y20" s="364"/>
      <c r="Z20" s="364"/>
      <c r="AA20" s="359"/>
      <c r="AB20" s="350"/>
    </row>
    <row r="21" spans="1:28" s="149" customFormat="1" ht="63.75">
      <c r="A21" s="349">
        <v>16</v>
      </c>
      <c r="B21" s="350" t="s">
        <v>1055</v>
      </c>
      <c r="C21" s="351" t="s">
        <v>1056</v>
      </c>
      <c r="D21" s="352" t="s">
        <v>1057</v>
      </c>
      <c r="E21" s="352" t="s">
        <v>1011</v>
      </c>
      <c r="F21" s="353">
        <v>500000</v>
      </c>
      <c r="G21" s="353">
        <v>500000</v>
      </c>
      <c r="H21" s="353">
        <v>500000</v>
      </c>
      <c r="I21" s="353">
        <v>500000</v>
      </c>
      <c r="J21" s="353">
        <v>500000</v>
      </c>
      <c r="K21" s="353">
        <v>500000</v>
      </c>
      <c r="L21" s="353">
        <v>500000</v>
      </c>
      <c r="M21" s="353">
        <v>500000</v>
      </c>
      <c r="N21" s="354">
        <v>500000</v>
      </c>
      <c r="O21" s="354">
        <v>500000</v>
      </c>
      <c r="P21" s="363" t="s">
        <v>1029</v>
      </c>
      <c r="Q21" s="356">
        <v>1</v>
      </c>
      <c r="R21" s="357">
        <v>0</v>
      </c>
      <c r="S21" s="364">
        <v>0</v>
      </c>
      <c r="T21" s="364">
        <v>500000</v>
      </c>
      <c r="U21" s="364">
        <v>0</v>
      </c>
      <c r="V21" s="364"/>
      <c r="W21" s="359">
        <f t="shared" si="0"/>
        <v>0</v>
      </c>
      <c r="X21" s="350" t="s">
        <v>599</v>
      </c>
      <c r="Y21" s="364"/>
      <c r="Z21" s="364"/>
      <c r="AA21" s="359"/>
      <c r="AB21" s="350"/>
    </row>
    <row r="22" spans="1:28" s="149" customFormat="1" ht="76.5">
      <c r="A22" s="349">
        <v>17</v>
      </c>
      <c r="B22" s="350" t="s">
        <v>1058</v>
      </c>
      <c r="C22" s="351" t="s">
        <v>1059</v>
      </c>
      <c r="D22" s="352" t="s">
        <v>1060</v>
      </c>
      <c r="E22" s="352" t="s">
        <v>1011</v>
      </c>
      <c r="F22" s="353">
        <v>250000</v>
      </c>
      <c r="G22" s="353">
        <v>250000</v>
      </c>
      <c r="H22" s="353">
        <v>250000</v>
      </c>
      <c r="I22" s="353">
        <v>250000</v>
      </c>
      <c r="J22" s="353">
        <v>250000</v>
      </c>
      <c r="K22" s="353">
        <v>250000</v>
      </c>
      <c r="L22" s="353">
        <v>250000</v>
      </c>
      <c r="M22" s="353">
        <v>250000</v>
      </c>
      <c r="N22" s="354">
        <v>250000</v>
      </c>
      <c r="O22" s="354">
        <v>250000</v>
      </c>
      <c r="P22" s="363" t="s">
        <v>1029</v>
      </c>
      <c r="Q22" s="356">
        <v>0</v>
      </c>
      <c r="R22" s="357">
        <v>0</v>
      </c>
      <c r="S22" s="364">
        <v>0</v>
      </c>
      <c r="T22" s="364">
        <v>250000</v>
      </c>
      <c r="U22" s="364">
        <v>0</v>
      </c>
      <c r="V22" s="364"/>
      <c r="W22" s="359">
        <f t="shared" si="0"/>
        <v>0</v>
      </c>
      <c r="X22" s="350" t="s">
        <v>599</v>
      </c>
      <c r="Y22" s="364"/>
      <c r="Z22" s="364"/>
      <c r="AA22" s="359"/>
      <c r="AB22" s="350"/>
    </row>
    <row r="23" spans="1:28" s="149" customFormat="1" ht="140.25">
      <c r="A23" s="349">
        <v>18</v>
      </c>
      <c r="B23" s="349" t="s">
        <v>1061</v>
      </c>
      <c r="C23" s="360" t="s">
        <v>1062</v>
      </c>
      <c r="D23" s="352" t="s">
        <v>1063</v>
      </c>
      <c r="E23" s="352" t="s">
        <v>1011</v>
      </c>
      <c r="F23" s="361">
        <v>150714</v>
      </c>
      <c r="G23" s="361">
        <v>150714</v>
      </c>
      <c r="H23" s="361">
        <v>150714</v>
      </c>
      <c r="I23" s="361">
        <v>150714</v>
      </c>
      <c r="J23" s="361">
        <v>150714</v>
      </c>
      <c r="K23" s="361">
        <v>150714</v>
      </c>
      <c r="L23" s="361">
        <v>150714</v>
      </c>
      <c r="M23" s="361">
        <v>150714</v>
      </c>
      <c r="N23" s="362">
        <v>150714</v>
      </c>
      <c r="O23" s="362">
        <v>150714</v>
      </c>
      <c r="P23" s="363" t="s">
        <v>1064</v>
      </c>
      <c r="Q23" s="356">
        <v>1</v>
      </c>
      <c r="R23" s="357">
        <v>1</v>
      </c>
      <c r="S23" s="364">
        <v>0</v>
      </c>
      <c r="T23" s="364">
        <v>0</v>
      </c>
      <c r="U23" s="364">
        <v>0</v>
      </c>
      <c r="V23" s="364">
        <v>0</v>
      </c>
      <c r="W23" s="359">
        <f t="shared" si="0"/>
        <v>150714</v>
      </c>
      <c r="X23" s="350" t="s">
        <v>599</v>
      </c>
      <c r="Y23" s="364"/>
      <c r="Z23" s="364"/>
      <c r="AA23" s="359"/>
      <c r="AB23" s="350"/>
    </row>
    <row r="24" spans="1:28" s="149" customFormat="1" ht="76.5">
      <c r="A24" s="349">
        <v>19</v>
      </c>
      <c r="B24" s="350" t="s">
        <v>1065</v>
      </c>
      <c r="C24" s="351" t="s">
        <v>1066</v>
      </c>
      <c r="D24" s="352" t="s">
        <v>1040</v>
      </c>
      <c r="E24" s="352" t="s">
        <v>1011</v>
      </c>
      <c r="F24" s="353">
        <v>200000</v>
      </c>
      <c r="G24" s="353">
        <v>200000</v>
      </c>
      <c r="H24" s="353">
        <v>200000</v>
      </c>
      <c r="I24" s="353">
        <v>80000</v>
      </c>
      <c r="J24" s="353">
        <v>80000</v>
      </c>
      <c r="K24" s="353">
        <v>80000</v>
      </c>
      <c r="L24" s="353">
        <v>80000</v>
      </c>
      <c r="M24" s="353">
        <v>80000</v>
      </c>
      <c r="N24" s="354">
        <v>80000</v>
      </c>
      <c r="O24" s="354">
        <v>80000</v>
      </c>
      <c r="P24" s="363">
        <v>42800</v>
      </c>
      <c r="Q24" s="356">
        <v>1</v>
      </c>
      <c r="R24" s="357">
        <v>1</v>
      </c>
      <c r="S24" s="364">
        <v>0</v>
      </c>
      <c r="T24" s="364">
        <v>54913</v>
      </c>
      <c r="U24" s="364">
        <v>0</v>
      </c>
      <c r="V24" s="364"/>
      <c r="W24" s="359">
        <f t="shared" si="0"/>
        <v>25087</v>
      </c>
      <c r="X24" s="350" t="s">
        <v>599</v>
      </c>
      <c r="Y24" s="364"/>
      <c r="Z24" s="364"/>
      <c r="AA24" s="359"/>
      <c r="AB24" s="350"/>
    </row>
    <row r="25" spans="1:28" s="149" customFormat="1" ht="51">
      <c r="A25" s="349">
        <v>20</v>
      </c>
      <c r="B25" s="350" t="s">
        <v>1067</v>
      </c>
      <c r="C25" s="351" t="s">
        <v>1068</v>
      </c>
      <c r="D25" s="360" t="s">
        <v>1069</v>
      </c>
      <c r="E25" s="352" t="s">
        <v>1011</v>
      </c>
      <c r="F25" s="366">
        <v>78000</v>
      </c>
      <c r="G25" s="366">
        <v>78000</v>
      </c>
      <c r="H25" s="366">
        <v>78000</v>
      </c>
      <c r="I25" s="366">
        <v>78000</v>
      </c>
      <c r="J25" s="366">
        <v>78000</v>
      </c>
      <c r="K25" s="366">
        <v>78000</v>
      </c>
      <c r="L25" s="366">
        <v>78000</v>
      </c>
      <c r="M25" s="366">
        <v>78000</v>
      </c>
      <c r="N25" s="367">
        <v>78000</v>
      </c>
      <c r="O25" s="367">
        <v>78000</v>
      </c>
      <c r="P25" s="363">
        <v>43132</v>
      </c>
      <c r="Q25" s="356">
        <v>1</v>
      </c>
      <c r="R25" s="357">
        <v>0.9</v>
      </c>
      <c r="S25" s="365">
        <v>41720</v>
      </c>
      <c r="T25" s="364">
        <v>20338</v>
      </c>
      <c r="U25" s="365"/>
      <c r="V25" s="364"/>
      <c r="W25" s="359">
        <f t="shared" si="0"/>
        <v>15942</v>
      </c>
      <c r="X25" s="350" t="s">
        <v>599</v>
      </c>
      <c r="Y25" s="365"/>
      <c r="Z25" s="364"/>
      <c r="AA25" s="359"/>
      <c r="AB25" s="350"/>
    </row>
    <row r="26" spans="1:28" s="149" customFormat="1" ht="76.5">
      <c r="A26" s="349">
        <v>21</v>
      </c>
      <c r="B26" s="350" t="s">
        <v>1070</v>
      </c>
      <c r="C26" s="351" t="s">
        <v>1071</v>
      </c>
      <c r="D26" s="360" t="s">
        <v>1072</v>
      </c>
      <c r="E26" s="352" t="s">
        <v>1011</v>
      </c>
      <c r="F26" s="366">
        <v>769600</v>
      </c>
      <c r="G26" s="366">
        <v>769600</v>
      </c>
      <c r="H26" s="366">
        <v>769600</v>
      </c>
      <c r="I26" s="366">
        <v>769600</v>
      </c>
      <c r="J26" s="366">
        <v>769600</v>
      </c>
      <c r="K26" s="366">
        <v>769600</v>
      </c>
      <c r="L26" s="366">
        <v>769600</v>
      </c>
      <c r="M26" s="366">
        <v>769600</v>
      </c>
      <c r="N26" s="367">
        <v>769600</v>
      </c>
      <c r="O26" s="367">
        <v>769600</v>
      </c>
      <c r="P26" s="363" t="s">
        <v>1029</v>
      </c>
      <c r="Q26" s="356">
        <v>0</v>
      </c>
      <c r="R26" s="357">
        <v>0</v>
      </c>
      <c r="S26" s="364"/>
      <c r="T26" s="364">
        <v>769600</v>
      </c>
      <c r="U26" s="364"/>
      <c r="V26" s="364"/>
      <c r="W26" s="359">
        <f t="shared" si="0"/>
        <v>0</v>
      </c>
      <c r="X26" s="350" t="s">
        <v>599</v>
      </c>
      <c r="Y26" s="364"/>
      <c r="Z26" s="364"/>
      <c r="AA26" s="359"/>
      <c r="AB26" s="350"/>
    </row>
    <row r="27" spans="1:28" s="149" customFormat="1" ht="51">
      <c r="A27" s="349">
        <v>22</v>
      </c>
      <c r="B27" s="350" t="s">
        <v>1073</v>
      </c>
      <c r="C27" s="351" t="s">
        <v>1074</v>
      </c>
      <c r="D27" s="360" t="s">
        <v>1075</v>
      </c>
      <c r="E27" s="352" t="s">
        <v>1011</v>
      </c>
      <c r="F27" s="366">
        <v>78000</v>
      </c>
      <c r="G27" s="366">
        <v>78000</v>
      </c>
      <c r="H27" s="366">
        <v>78000</v>
      </c>
      <c r="I27" s="366">
        <v>78000</v>
      </c>
      <c r="J27" s="366">
        <v>78000</v>
      </c>
      <c r="K27" s="366">
        <v>78000</v>
      </c>
      <c r="L27" s="366">
        <v>78000</v>
      </c>
      <c r="M27" s="366">
        <v>78000</v>
      </c>
      <c r="N27" s="367">
        <v>78000</v>
      </c>
      <c r="O27" s="367">
        <v>78000</v>
      </c>
      <c r="P27" s="363" t="s">
        <v>1029</v>
      </c>
      <c r="Q27" s="356">
        <v>0</v>
      </c>
      <c r="R27" s="357">
        <v>0</v>
      </c>
      <c r="S27" s="364"/>
      <c r="T27" s="364">
        <v>278000</v>
      </c>
      <c r="U27" s="364"/>
      <c r="V27" s="364"/>
      <c r="W27" s="359">
        <f t="shared" si="0"/>
        <v>-200000</v>
      </c>
      <c r="X27" s="350" t="s">
        <v>599</v>
      </c>
      <c r="Y27" s="364"/>
      <c r="Z27" s="364"/>
      <c r="AA27" s="359"/>
      <c r="AB27" s="350"/>
    </row>
    <row r="28" spans="1:28" s="149" customFormat="1" ht="51">
      <c r="A28" s="349">
        <v>23</v>
      </c>
      <c r="B28" s="350" t="s">
        <v>1076</v>
      </c>
      <c r="C28" s="351" t="s">
        <v>1077</v>
      </c>
      <c r="D28" s="360" t="s">
        <v>1078</v>
      </c>
      <c r="E28" s="352" t="s">
        <v>1011</v>
      </c>
      <c r="F28" s="366">
        <v>520000</v>
      </c>
      <c r="G28" s="366">
        <v>520000</v>
      </c>
      <c r="H28" s="366">
        <v>520000</v>
      </c>
      <c r="I28" s="366">
        <v>520000</v>
      </c>
      <c r="J28" s="366">
        <v>520000</v>
      </c>
      <c r="K28" s="366">
        <v>520000</v>
      </c>
      <c r="L28" s="366">
        <v>520000</v>
      </c>
      <c r="M28" s="366">
        <v>520000</v>
      </c>
      <c r="N28" s="367">
        <v>520000</v>
      </c>
      <c r="O28" s="367">
        <v>520000</v>
      </c>
      <c r="P28" s="363" t="s">
        <v>1029</v>
      </c>
      <c r="Q28" s="356">
        <v>0</v>
      </c>
      <c r="R28" s="357">
        <v>0</v>
      </c>
      <c r="S28" s="358"/>
      <c r="T28" s="358">
        <v>520000</v>
      </c>
      <c r="U28" s="358"/>
      <c r="V28" s="358"/>
      <c r="W28" s="359">
        <f t="shared" si="0"/>
        <v>0</v>
      </c>
      <c r="X28" s="350" t="s">
        <v>599</v>
      </c>
      <c r="Y28" s="358"/>
      <c r="Z28" s="358"/>
      <c r="AA28" s="359"/>
      <c r="AB28" s="350"/>
    </row>
    <row r="29" spans="1:28" s="149" customFormat="1" ht="51">
      <c r="A29" s="349">
        <v>24</v>
      </c>
      <c r="B29" s="350" t="s">
        <v>1079</v>
      </c>
      <c r="C29" s="351" t="s">
        <v>1080</v>
      </c>
      <c r="D29" s="360" t="s">
        <v>1081</v>
      </c>
      <c r="E29" s="352" t="s">
        <v>1011</v>
      </c>
      <c r="F29" s="366">
        <v>1040000</v>
      </c>
      <c r="G29" s="366">
        <v>1040000</v>
      </c>
      <c r="H29" s="366">
        <v>1040000</v>
      </c>
      <c r="I29" s="366">
        <v>1040000</v>
      </c>
      <c r="J29" s="366">
        <v>1040000</v>
      </c>
      <c r="K29" s="366">
        <v>1040000</v>
      </c>
      <c r="L29" s="366">
        <v>1040000</v>
      </c>
      <c r="M29" s="366">
        <v>1040000</v>
      </c>
      <c r="N29" s="367">
        <v>1040000</v>
      </c>
      <c r="O29" s="367">
        <v>1040000</v>
      </c>
      <c r="P29" s="363" t="s">
        <v>1029</v>
      </c>
      <c r="Q29" s="356">
        <v>0</v>
      </c>
      <c r="R29" s="357">
        <v>0</v>
      </c>
      <c r="S29" s="358"/>
      <c r="T29" s="358">
        <v>1040000</v>
      </c>
      <c r="U29" s="358"/>
      <c r="V29" s="358"/>
      <c r="W29" s="359">
        <f t="shared" si="0"/>
        <v>0</v>
      </c>
      <c r="X29" s="350" t="s">
        <v>599</v>
      </c>
      <c r="Y29" s="358"/>
      <c r="Z29" s="358"/>
      <c r="AA29" s="359"/>
      <c r="AB29" s="350"/>
    </row>
    <row r="30" spans="1:28" s="149" customFormat="1" ht="51">
      <c r="A30" s="349">
        <v>25</v>
      </c>
      <c r="B30" s="350" t="s">
        <v>1082</v>
      </c>
      <c r="C30" s="351" t="s">
        <v>1083</v>
      </c>
      <c r="D30" s="360" t="s">
        <v>1084</v>
      </c>
      <c r="E30" s="352" t="s">
        <v>1011</v>
      </c>
      <c r="F30" s="366">
        <v>1787058</v>
      </c>
      <c r="G30" s="366">
        <v>1787058</v>
      </c>
      <c r="H30" s="366">
        <v>1787058</v>
      </c>
      <c r="I30" s="366">
        <v>1787058</v>
      </c>
      <c r="J30" s="366">
        <v>1787058</v>
      </c>
      <c r="K30" s="366">
        <v>1787058</v>
      </c>
      <c r="L30" s="366">
        <v>1787058</v>
      </c>
      <c r="M30" s="366">
        <v>1787058</v>
      </c>
      <c r="N30" s="367">
        <v>1787058</v>
      </c>
      <c r="O30" s="367">
        <v>1787058</v>
      </c>
      <c r="P30" s="363" t="s">
        <v>1029</v>
      </c>
      <c r="Q30" s="356">
        <v>0</v>
      </c>
      <c r="R30" s="357">
        <v>0</v>
      </c>
      <c r="S30" s="358">
        <v>0</v>
      </c>
      <c r="T30" s="358">
        <v>1787058</v>
      </c>
      <c r="U30" s="358">
        <v>0</v>
      </c>
      <c r="V30" s="358"/>
      <c r="W30" s="359">
        <f t="shared" si="0"/>
        <v>0</v>
      </c>
      <c r="X30" s="350" t="s">
        <v>599</v>
      </c>
      <c r="Y30" s="358"/>
      <c r="Z30" s="358"/>
      <c r="AA30" s="359"/>
      <c r="AB30" s="350"/>
    </row>
    <row r="31" spans="1:28" s="149" customFormat="1" ht="63.75">
      <c r="A31" s="349">
        <v>26</v>
      </c>
      <c r="B31" s="350" t="s">
        <v>1085</v>
      </c>
      <c r="C31" s="351" t="s">
        <v>1086</v>
      </c>
      <c r="D31" s="360" t="s">
        <v>1087</v>
      </c>
      <c r="E31" s="352" t="s">
        <v>1011</v>
      </c>
      <c r="F31" s="366">
        <v>26000</v>
      </c>
      <c r="G31" s="366">
        <v>26000</v>
      </c>
      <c r="H31" s="366">
        <v>26000</v>
      </c>
      <c r="I31" s="366">
        <v>26000</v>
      </c>
      <c r="J31" s="366">
        <v>26000</v>
      </c>
      <c r="K31" s="366">
        <v>26000</v>
      </c>
      <c r="L31" s="366">
        <v>26000</v>
      </c>
      <c r="M31" s="366">
        <v>26000</v>
      </c>
      <c r="N31" s="367">
        <v>26000</v>
      </c>
      <c r="O31" s="367">
        <v>26000</v>
      </c>
      <c r="P31" s="363" t="s">
        <v>1029</v>
      </c>
      <c r="Q31" s="356">
        <v>0</v>
      </c>
      <c r="R31" s="357">
        <v>0</v>
      </c>
      <c r="S31" s="364">
        <v>0</v>
      </c>
      <c r="T31" s="364">
        <v>26000</v>
      </c>
      <c r="U31" s="364">
        <v>0</v>
      </c>
      <c r="V31" s="364"/>
      <c r="W31" s="359">
        <f t="shared" si="0"/>
        <v>0</v>
      </c>
      <c r="X31" s="350" t="s">
        <v>599</v>
      </c>
      <c r="Y31" s="364"/>
      <c r="Z31" s="364"/>
      <c r="AA31" s="359"/>
      <c r="AB31" s="350"/>
    </row>
    <row r="32" spans="1:28" s="149" customFormat="1" ht="178.5">
      <c r="A32" s="349">
        <v>27</v>
      </c>
      <c r="B32" s="350" t="s">
        <v>1088</v>
      </c>
      <c r="C32" s="351" t="s">
        <v>1089</v>
      </c>
      <c r="D32" s="352" t="s">
        <v>1090</v>
      </c>
      <c r="E32" s="352" t="s">
        <v>1011</v>
      </c>
      <c r="F32" s="353">
        <f t="shared" ref="F32:O32" si="1">537368+66502</f>
        <v>603870</v>
      </c>
      <c r="G32" s="353">
        <f t="shared" si="1"/>
        <v>603870</v>
      </c>
      <c r="H32" s="353">
        <f t="shared" si="1"/>
        <v>603870</v>
      </c>
      <c r="I32" s="353">
        <f t="shared" si="1"/>
        <v>603870</v>
      </c>
      <c r="J32" s="353">
        <f t="shared" si="1"/>
        <v>603870</v>
      </c>
      <c r="K32" s="353">
        <f t="shared" si="1"/>
        <v>603870</v>
      </c>
      <c r="L32" s="353">
        <f t="shared" si="1"/>
        <v>603870</v>
      </c>
      <c r="M32" s="353">
        <f t="shared" si="1"/>
        <v>603870</v>
      </c>
      <c r="N32" s="354">
        <f t="shared" si="1"/>
        <v>603870</v>
      </c>
      <c r="O32" s="354">
        <f t="shared" si="1"/>
        <v>603870</v>
      </c>
      <c r="P32" s="363" t="s">
        <v>1029</v>
      </c>
      <c r="Q32" s="356">
        <v>0</v>
      </c>
      <c r="R32" s="357">
        <v>0</v>
      </c>
      <c r="S32" s="364">
        <v>0</v>
      </c>
      <c r="T32" s="364">
        <v>603870</v>
      </c>
      <c r="U32" s="364">
        <v>0</v>
      </c>
      <c r="V32" s="364"/>
      <c r="W32" s="359">
        <f t="shared" si="0"/>
        <v>0</v>
      </c>
      <c r="X32" s="350" t="s">
        <v>599</v>
      </c>
      <c r="Y32" s="364"/>
      <c r="Z32" s="364"/>
      <c r="AA32" s="359"/>
      <c r="AB32" s="350"/>
    </row>
    <row r="33" spans="1:28" s="149" customFormat="1" ht="76.5">
      <c r="A33" s="349">
        <v>28</v>
      </c>
      <c r="B33" s="350" t="s">
        <v>1091</v>
      </c>
      <c r="C33" s="351" t="s">
        <v>1092</v>
      </c>
      <c r="D33" s="352" t="s">
        <v>1093</v>
      </c>
      <c r="E33" s="352" t="s">
        <v>1011</v>
      </c>
      <c r="F33" s="353">
        <v>134006</v>
      </c>
      <c r="G33" s="353">
        <v>134006</v>
      </c>
      <c r="H33" s="353">
        <v>134006</v>
      </c>
      <c r="I33" s="353">
        <v>134006</v>
      </c>
      <c r="J33" s="353">
        <v>134006</v>
      </c>
      <c r="K33" s="353">
        <v>134006</v>
      </c>
      <c r="L33" s="353">
        <v>134006</v>
      </c>
      <c r="M33" s="353">
        <v>134006</v>
      </c>
      <c r="N33" s="354">
        <v>134006</v>
      </c>
      <c r="O33" s="354">
        <v>134006</v>
      </c>
      <c r="P33" s="363" t="s">
        <v>1029</v>
      </c>
      <c r="Q33" s="356">
        <v>0</v>
      </c>
      <c r="R33" s="357">
        <v>0</v>
      </c>
      <c r="S33" s="364">
        <v>0</v>
      </c>
      <c r="T33" s="364">
        <v>134006</v>
      </c>
      <c r="U33" s="364">
        <v>0</v>
      </c>
      <c r="V33" s="364"/>
      <c r="W33" s="359">
        <f t="shared" si="0"/>
        <v>0</v>
      </c>
      <c r="X33" s="350" t="s">
        <v>599</v>
      </c>
      <c r="Y33" s="364"/>
      <c r="Z33" s="364"/>
      <c r="AA33" s="359"/>
      <c r="AB33" s="350"/>
    </row>
    <row r="34" spans="1:28" s="149" customFormat="1" ht="63.75">
      <c r="A34" s="349">
        <v>29</v>
      </c>
      <c r="B34" s="350" t="s">
        <v>1094</v>
      </c>
      <c r="C34" s="351" t="s">
        <v>1095</v>
      </c>
      <c r="D34" s="352" t="s">
        <v>1096</v>
      </c>
      <c r="E34" s="352" t="s">
        <v>1011</v>
      </c>
      <c r="F34" s="353">
        <v>574870</v>
      </c>
      <c r="G34" s="353">
        <v>574870</v>
      </c>
      <c r="H34" s="353">
        <v>574870</v>
      </c>
      <c r="I34" s="353">
        <v>574870</v>
      </c>
      <c r="J34" s="353">
        <v>574870</v>
      </c>
      <c r="K34" s="353">
        <v>574870</v>
      </c>
      <c r="L34" s="353">
        <v>574870</v>
      </c>
      <c r="M34" s="353">
        <v>574870</v>
      </c>
      <c r="N34" s="354">
        <v>574870</v>
      </c>
      <c r="O34" s="354">
        <v>574870</v>
      </c>
      <c r="P34" s="363" t="s">
        <v>1029</v>
      </c>
      <c r="Q34" s="356">
        <v>0</v>
      </c>
      <c r="R34" s="357">
        <v>0</v>
      </c>
      <c r="S34" s="364">
        <v>0</v>
      </c>
      <c r="T34" s="364">
        <v>574870</v>
      </c>
      <c r="U34" s="364">
        <v>0</v>
      </c>
      <c r="V34" s="364"/>
      <c r="W34" s="359">
        <f t="shared" si="0"/>
        <v>0</v>
      </c>
      <c r="X34" s="350" t="s">
        <v>599</v>
      </c>
      <c r="Y34" s="364"/>
      <c r="Z34" s="364"/>
      <c r="AA34" s="359"/>
      <c r="AB34" s="350"/>
    </row>
    <row r="35" spans="1:28" s="149" customFormat="1" ht="76.5">
      <c r="A35" s="349">
        <v>30</v>
      </c>
      <c r="B35" s="350" t="s">
        <v>1097</v>
      </c>
      <c r="C35" s="351" t="s">
        <v>1098</v>
      </c>
      <c r="D35" s="352" t="s">
        <v>1099</v>
      </c>
      <c r="E35" s="352" t="s">
        <v>1011</v>
      </c>
      <c r="F35" s="353">
        <v>517577</v>
      </c>
      <c r="G35" s="353">
        <v>517577</v>
      </c>
      <c r="H35" s="353">
        <v>517577</v>
      </c>
      <c r="I35" s="353">
        <v>517577</v>
      </c>
      <c r="J35" s="353">
        <v>517577</v>
      </c>
      <c r="K35" s="353">
        <v>517577</v>
      </c>
      <c r="L35" s="353">
        <v>517577</v>
      </c>
      <c r="M35" s="353">
        <v>517577</v>
      </c>
      <c r="N35" s="354">
        <v>517577</v>
      </c>
      <c r="O35" s="354">
        <v>517577</v>
      </c>
      <c r="P35" s="363" t="s">
        <v>1029</v>
      </c>
      <c r="Q35" s="356">
        <v>0</v>
      </c>
      <c r="R35" s="357">
        <v>0</v>
      </c>
      <c r="S35" s="364">
        <v>0</v>
      </c>
      <c r="T35" s="364">
        <v>517577</v>
      </c>
      <c r="U35" s="364">
        <v>0</v>
      </c>
      <c r="V35" s="364"/>
      <c r="W35" s="359">
        <f t="shared" si="0"/>
        <v>0</v>
      </c>
      <c r="X35" s="350" t="s">
        <v>599</v>
      </c>
      <c r="Y35" s="364"/>
      <c r="Z35" s="364"/>
      <c r="AA35" s="359"/>
      <c r="AB35" s="350"/>
    </row>
    <row r="36" spans="1:28" s="149" customFormat="1" ht="165.75">
      <c r="A36" s="349">
        <v>31</v>
      </c>
      <c r="B36" s="350" t="s">
        <v>1100</v>
      </c>
      <c r="C36" s="351" t="s">
        <v>1101</v>
      </c>
      <c r="D36" s="352" t="s">
        <v>1102</v>
      </c>
      <c r="E36" s="352" t="s">
        <v>1011</v>
      </c>
      <c r="F36" s="353">
        <v>150000</v>
      </c>
      <c r="G36" s="353">
        <v>150000</v>
      </c>
      <c r="H36" s="353">
        <v>150000</v>
      </c>
      <c r="I36" s="353">
        <v>150000</v>
      </c>
      <c r="J36" s="353">
        <v>150000</v>
      </c>
      <c r="K36" s="353">
        <v>150000</v>
      </c>
      <c r="L36" s="353">
        <v>150000</v>
      </c>
      <c r="M36" s="353">
        <v>150000</v>
      </c>
      <c r="N36" s="354">
        <v>150000</v>
      </c>
      <c r="O36" s="354">
        <v>150000</v>
      </c>
      <c r="P36" s="363" t="s">
        <v>1029</v>
      </c>
      <c r="Q36" s="356">
        <v>0</v>
      </c>
      <c r="R36" s="357">
        <v>0</v>
      </c>
      <c r="S36" s="364">
        <v>0</v>
      </c>
      <c r="T36" s="364">
        <v>150000</v>
      </c>
      <c r="U36" s="364">
        <v>0</v>
      </c>
      <c r="V36" s="364"/>
      <c r="W36" s="359">
        <f t="shared" si="0"/>
        <v>0</v>
      </c>
      <c r="X36" s="350" t="s">
        <v>599</v>
      </c>
      <c r="Y36" s="364"/>
      <c r="Z36" s="364"/>
      <c r="AA36" s="359"/>
      <c r="AB36" s="350"/>
    </row>
    <row r="37" spans="1:28" s="149" customFormat="1" ht="89.25">
      <c r="A37" s="349">
        <v>32</v>
      </c>
      <c r="B37" s="349" t="s">
        <v>1103</v>
      </c>
      <c r="C37" s="351" t="s">
        <v>1104</v>
      </c>
      <c r="D37" s="352" t="s">
        <v>1105</v>
      </c>
      <c r="E37" s="352" t="s">
        <v>1011</v>
      </c>
      <c r="F37" s="353">
        <v>150000</v>
      </c>
      <c r="G37" s="353">
        <v>150000</v>
      </c>
      <c r="H37" s="353">
        <v>150000</v>
      </c>
      <c r="I37" s="353">
        <v>150000</v>
      </c>
      <c r="J37" s="353">
        <v>150000</v>
      </c>
      <c r="K37" s="353">
        <v>150000</v>
      </c>
      <c r="L37" s="353">
        <v>150000</v>
      </c>
      <c r="M37" s="353">
        <v>150000</v>
      </c>
      <c r="N37" s="354">
        <v>150000</v>
      </c>
      <c r="O37" s="354">
        <v>150000</v>
      </c>
      <c r="P37" s="363" t="s">
        <v>1029</v>
      </c>
      <c r="Q37" s="356">
        <v>0</v>
      </c>
      <c r="R37" s="357">
        <v>0</v>
      </c>
      <c r="S37" s="364">
        <v>0</v>
      </c>
      <c r="T37" s="364">
        <v>150000</v>
      </c>
      <c r="U37" s="364">
        <v>0</v>
      </c>
      <c r="V37" s="364"/>
      <c r="W37" s="359">
        <f t="shared" si="0"/>
        <v>0</v>
      </c>
      <c r="X37" s="350" t="s">
        <v>599</v>
      </c>
      <c r="Y37" s="364"/>
      <c r="Z37" s="364"/>
      <c r="AA37" s="359"/>
      <c r="AB37" s="350"/>
    </row>
    <row r="38" spans="1:28" s="149" customFormat="1" ht="63.75">
      <c r="A38" s="349">
        <v>33</v>
      </c>
      <c r="B38" s="350" t="s">
        <v>1106</v>
      </c>
      <c r="C38" s="351" t="s">
        <v>1107</v>
      </c>
      <c r="D38" s="352" t="s">
        <v>1108</v>
      </c>
      <c r="E38" s="352" t="s">
        <v>1011</v>
      </c>
      <c r="F38" s="353">
        <v>150000</v>
      </c>
      <c r="G38" s="353">
        <v>150000</v>
      </c>
      <c r="H38" s="353">
        <v>150000</v>
      </c>
      <c r="I38" s="353">
        <v>150000</v>
      </c>
      <c r="J38" s="353">
        <v>150000</v>
      </c>
      <c r="K38" s="353">
        <v>150000</v>
      </c>
      <c r="L38" s="353">
        <v>150000</v>
      </c>
      <c r="M38" s="353">
        <v>150000</v>
      </c>
      <c r="N38" s="354">
        <v>150000</v>
      </c>
      <c r="O38" s="354">
        <v>150000</v>
      </c>
      <c r="P38" s="363" t="s">
        <v>1029</v>
      </c>
      <c r="Q38" s="356">
        <v>0</v>
      </c>
      <c r="R38" s="357">
        <v>0</v>
      </c>
      <c r="S38" s="364">
        <v>0</v>
      </c>
      <c r="T38" s="364">
        <v>150000</v>
      </c>
      <c r="U38" s="364">
        <v>0</v>
      </c>
      <c r="V38" s="364"/>
      <c r="W38" s="359">
        <f t="shared" si="0"/>
        <v>0</v>
      </c>
      <c r="X38" s="350" t="s">
        <v>599</v>
      </c>
      <c r="Y38" s="364"/>
      <c r="Z38" s="364"/>
      <c r="AA38" s="359"/>
      <c r="AB38" s="350"/>
    </row>
    <row r="39" spans="1:28" s="149" customFormat="1" ht="76.5">
      <c r="A39" s="349">
        <v>34</v>
      </c>
      <c r="B39" s="350" t="s">
        <v>1109</v>
      </c>
      <c r="C39" s="351" t="s">
        <v>1110</v>
      </c>
      <c r="D39" s="352" t="s">
        <v>1111</v>
      </c>
      <c r="E39" s="352" t="s">
        <v>1011</v>
      </c>
      <c r="F39" s="353">
        <v>150000</v>
      </c>
      <c r="G39" s="353">
        <v>150000</v>
      </c>
      <c r="H39" s="353">
        <v>150000</v>
      </c>
      <c r="I39" s="353">
        <v>150000</v>
      </c>
      <c r="J39" s="353">
        <v>150000</v>
      </c>
      <c r="K39" s="353">
        <v>150000</v>
      </c>
      <c r="L39" s="353">
        <v>150000</v>
      </c>
      <c r="M39" s="353">
        <v>150000</v>
      </c>
      <c r="N39" s="354">
        <v>150000</v>
      </c>
      <c r="O39" s="354">
        <v>150000</v>
      </c>
      <c r="P39" s="363" t="s">
        <v>1029</v>
      </c>
      <c r="Q39" s="356">
        <v>0</v>
      </c>
      <c r="R39" s="357">
        <v>0</v>
      </c>
      <c r="S39" s="364">
        <v>0</v>
      </c>
      <c r="T39" s="364">
        <v>150200</v>
      </c>
      <c r="U39" s="364">
        <v>0</v>
      </c>
      <c r="V39" s="364"/>
      <c r="W39" s="359">
        <f t="shared" si="0"/>
        <v>-200</v>
      </c>
      <c r="X39" s="350" t="s">
        <v>599</v>
      </c>
      <c r="Y39" s="364"/>
      <c r="Z39" s="364"/>
      <c r="AA39" s="359"/>
      <c r="AB39" s="350"/>
    </row>
    <row r="40" spans="1:28" s="149" customFormat="1" ht="127.5">
      <c r="A40" s="349">
        <v>35</v>
      </c>
      <c r="B40" s="350" t="s">
        <v>1112</v>
      </c>
      <c r="C40" s="351" t="s">
        <v>1113</v>
      </c>
      <c r="D40" s="352" t="s">
        <v>1114</v>
      </c>
      <c r="E40" s="352" t="s">
        <v>1011</v>
      </c>
      <c r="F40" s="353">
        <v>150000</v>
      </c>
      <c r="G40" s="353">
        <v>150000</v>
      </c>
      <c r="H40" s="353">
        <v>150000</v>
      </c>
      <c r="I40" s="353">
        <v>150000</v>
      </c>
      <c r="J40" s="353">
        <v>150000</v>
      </c>
      <c r="K40" s="353">
        <v>150000</v>
      </c>
      <c r="L40" s="353">
        <v>150000</v>
      </c>
      <c r="M40" s="353">
        <v>150000</v>
      </c>
      <c r="N40" s="354">
        <v>150000</v>
      </c>
      <c r="O40" s="354">
        <v>150000</v>
      </c>
      <c r="P40" s="363" t="s">
        <v>1029</v>
      </c>
      <c r="Q40" s="356">
        <v>0</v>
      </c>
      <c r="R40" s="357">
        <v>0</v>
      </c>
      <c r="S40" s="364">
        <v>0</v>
      </c>
      <c r="T40" s="364">
        <v>150000</v>
      </c>
      <c r="U40" s="364">
        <v>0</v>
      </c>
      <c r="V40" s="364"/>
      <c r="W40" s="359">
        <f t="shared" si="0"/>
        <v>0</v>
      </c>
      <c r="X40" s="350" t="s">
        <v>599</v>
      </c>
      <c r="Y40" s="364"/>
      <c r="Z40" s="364"/>
      <c r="AA40" s="359"/>
      <c r="AB40" s="350"/>
    </row>
    <row r="41" spans="1:28" s="149" customFormat="1" ht="140.25">
      <c r="A41" s="349">
        <v>36</v>
      </c>
      <c r="B41" s="350" t="s">
        <v>1115</v>
      </c>
      <c r="C41" s="351" t="s">
        <v>1116</v>
      </c>
      <c r="D41" s="352" t="s">
        <v>1117</v>
      </c>
      <c r="E41" s="352" t="s">
        <v>1011</v>
      </c>
      <c r="F41" s="353">
        <v>185000</v>
      </c>
      <c r="G41" s="353">
        <v>185000</v>
      </c>
      <c r="H41" s="353">
        <v>185000</v>
      </c>
      <c r="I41" s="353">
        <v>185000</v>
      </c>
      <c r="J41" s="353">
        <v>185000</v>
      </c>
      <c r="K41" s="353">
        <v>185000</v>
      </c>
      <c r="L41" s="353">
        <v>185000</v>
      </c>
      <c r="M41" s="353">
        <v>185000</v>
      </c>
      <c r="N41" s="354">
        <v>185000</v>
      </c>
      <c r="O41" s="354">
        <v>185000</v>
      </c>
      <c r="P41" s="363" t="s">
        <v>1029</v>
      </c>
      <c r="Q41" s="356">
        <v>0</v>
      </c>
      <c r="R41" s="357">
        <v>0</v>
      </c>
      <c r="S41" s="364">
        <v>0</v>
      </c>
      <c r="T41" s="364">
        <v>185000</v>
      </c>
      <c r="U41" s="364">
        <v>0</v>
      </c>
      <c r="V41" s="364"/>
      <c r="W41" s="359">
        <f t="shared" si="0"/>
        <v>0</v>
      </c>
      <c r="X41" s="350" t="s">
        <v>599</v>
      </c>
      <c r="Y41" s="364"/>
      <c r="Z41" s="364"/>
      <c r="AA41" s="359"/>
      <c r="AB41" s="350"/>
    </row>
    <row r="42" spans="1:28" s="149" customFormat="1" ht="63.75">
      <c r="A42" s="349">
        <v>37</v>
      </c>
      <c r="B42" s="350" t="s">
        <v>1118</v>
      </c>
      <c r="C42" s="351" t="s">
        <v>1119</v>
      </c>
      <c r="D42" s="360" t="s">
        <v>1120</v>
      </c>
      <c r="E42" s="352" t="s">
        <v>1011</v>
      </c>
      <c r="F42" s="366">
        <v>100000</v>
      </c>
      <c r="G42" s="366">
        <v>100000</v>
      </c>
      <c r="H42" s="366">
        <v>100000</v>
      </c>
      <c r="I42" s="366">
        <v>100000</v>
      </c>
      <c r="J42" s="366">
        <v>100000</v>
      </c>
      <c r="K42" s="366">
        <v>100000</v>
      </c>
      <c r="L42" s="366">
        <v>100000</v>
      </c>
      <c r="M42" s="366">
        <v>100000</v>
      </c>
      <c r="N42" s="367">
        <v>100000</v>
      </c>
      <c r="O42" s="367">
        <v>100000</v>
      </c>
      <c r="P42" s="363">
        <v>42978</v>
      </c>
      <c r="Q42" s="356">
        <v>1</v>
      </c>
      <c r="R42" s="357">
        <v>1</v>
      </c>
      <c r="S42" s="364"/>
      <c r="T42" s="364">
        <v>172458</v>
      </c>
      <c r="U42" s="364"/>
      <c r="V42" s="364"/>
      <c r="W42" s="359">
        <f t="shared" si="0"/>
        <v>-72458</v>
      </c>
      <c r="X42" s="350" t="s">
        <v>599</v>
      </c>
      <c r="Y42" s="364"/>
      <c r="Z42" s="364"/>
      <c r="AA42" s="359"/>
      <c r="AB42" s="350"/>
    </row>
    <row r="43" spans="1:28" s="149" customFormat="1" ht="102">
      <c r="A43" s="349">
        <v>38</v>
      </c>
      <c r="B43" s="349" t="s">
        <v>1121</v>
      </c>
      <c r="C43" s="360" t="s">
        <v>1122</v>
      </c>
      <c r="D43" s="360" t="s">
        <v>1123</v>
      </c>
      <c r="E43" s="352" t="s">
        <v>1011</v>
      </c>
      <c r="F43" s="361">
        <v>234000</v>
      </c>
      <c r="G43" s="361">
        <v>234000</v>
      </c>
      <c r="H43" s="361">
        <v>234000</v>
      </c>
      <c r="I43" s="361">
        <v>234000</v>
      </c>
      <c r="J43" s="361">
        <v>234000</v>
      </c>
      <c r="K43" s="361">
        <v>234000</v>
      </c>
      <c r="L43" s="361">
        <v>234000</v>
      </c>
      <c r="M43" s="361">
        <v>234000</v>
      </c>
      <c r="N43" s="362">
        <v>234000</v>
      </c>
      <c r="O43" s="362">
        <v>234000</v>
      </c>
      <c r="P43" s="363">
        <v>42885</v>
      </c>
      <c r="Q43" s="356">
        <v>1</v>
      </c>
      <c r="R43" s="357">
        <v>1</v>
      </c>
      <c r="S43" s="358">
        <v>0</v>
      </c>
      <c r="T43" s="358">
        <v>78595</v>
      </c>
      <c r="U43" s="358">
        <v>0</v>
      </c>
      <c r="V43" s="358"/>
      <c r="W43" s="359">
        <f t="shared" si="0"/>
        <v>155405</v>
      </c>
      <c r="X43" s="350" t="s">
        <v>599</v>
      </c>
      <c r="Y43" s="358"/>
      <c r="Z43" s="358"/>
      <c r="AA43" s="359"/>
      <c r="AB43" s="350"/>
    </row>
    <row r="44" spans="1:28" s="149" customFormat="1" ht="63.75">
      <c r="A44" s="349">
        <v>39</v>
      </c>
      <c r="B44" s="349" t="s">
        <v>1124</v>
      </c>
      <c r="C44" s="360" t="s">
        <v>1125</v>
      </c>
      <c r="D44" s="360" t="s">
        <v>1126</v>
      </c>
      <c r="E44" s="352" t="s">
        <v>1011</v>
      </c>
      <c r="F44" s="361">
        <v>249600</v>
      </c>
      <c r="G44" s="361">
        <v>249600</v>
      </c>
      <c r="H44" s="361">
        <v>249600</v>
      </c>
      <c r="I44" s="361">
        <v>249600</v>
      </c>
      <c r="J44" s="361">
        <v>249600</v>
      </c>
      <c r="K44" s="361">
        <v>249600</v>
      </c>
      <c r="L44" s="361">
        <v>249600</v>
      </c>
      <c r="M44" s="361">
        <v>249600</v>
      </c>
      <c r="N44" s="362">
        <v>249600</v>
      </c>
      <c r="O44" s="362">
        <v>249600</v>
      </c>
      <c r="P44" s="363">
        <v>43047</v>
      </c>
      <c r="Q44" s="356">
        <v>1</v>
      </c>
      <c r="R44" s="357">
        <v>1</v>
      </c>
      <c r="S44" s="358"/>
      <c r="T44" s="358">
        <f>61918.15+108031.85</f>
        <v>169950</v>
      </c>
      <c r="U44" s="358"/>
      <c r="V44" s="358"/>
      <c r="W44" s="359">
        <f t="shared" si="0"/>
        <v>79650</v>
      </c>
      <c r="X44" s="350" t="s">
        <v>599</v>
      </c>
      <c r="Y44" s="358"/>
      <c r="Z44" s="358"/>
      <c r="AA44" s="359"/>
      <c r="AB44" s="350"/>
    </row>
    <row r="45" spans="1:28" s="149" customFormat="1" ht="51">
      <c r="A45" s="349">
        <v>40</v>
      </c>
      <c r="B45" s="350" t="s">
        <v>1127</v>
      </c>
      <c r="C45" s="351" t="s">
        <v>1128</v>
      </c>
      <c r="D45" s="352" t="s">
        <v>1129</v>
      </c>
      <c r="E45" s="352" t="s">
        <v>1011</v>
      </c>
      <c r="F45" s="353">
        <v>250000</v>
      </c>
      <c r="G45" s="353">
        <v>250000</v>
      </c>
      <c r="H45" s="353">
        <v>250000</v>
      </c>
      <c r="I45" s="353">
        <v>250000</v>
      </c>
      <c r="J45" s="353">
        <v>250000</v>
      </c>
      <c r="K45" s="353">
        <v>250000</v>
      </c>
      <c r="L45" s="353">
        <v>250000</v>
      </c>
      <c r="M45" s="353">
        <v>250000</v>
      </c>
      <c r="N45" s="354">
        <v>250000</v>
      </c>
      <c r="O45" s="354">
        <v>250000</v>
      </c>
      <c r="P45" s="355" t="s">
        <v>1130</v>
      </c>
      <c r="Q45" s="356">
        <v>1</v>
      </c>
      <c r="R45" s="357">
        <v>0.9</v>
      </c>
      <c r="S45" s="358">
        <v>171348.73</v>
      </c>
      <c r="T45" s="358">
        <v>246372.93</v>
      </c>
      <c r="U45" s="358"/>
      <c r="V45" s="358"/>
      <c r="W45" s="359">
        <f t="shared" si="0"/>
        <v>-167721.66</v>
      </c>
      <c r="X45" s="350" t="s">
        <v>599</v>
      </c>
      <c r="Y45" s="358"/>
      <c r="Z45" s="358"/>
      <c r="AA45" s="359"/>
      <c r="AB45" s="350"/>
    </row>
    <row r="46" spans="1:28" s="149" customFormat="1" ht="76.5">
      <c r="A46" s="349">
        <v>41</v>
      </c>
      <c r="B46" s="349" t="s">
        <v>1131</v>
      </c>
      <c r="C46" s="368" t="s">
        <v>1132</v>
      </c>
      <c r="D46" s="368" t="s">
        <v>1133</v>
      </c>
      <c r="E46" s="352" t="s">
        <v>1011</v>
      </c>
      <c r="F46" s="361">
        <v>167666.72</v>
      </c>
      <c r="G46" s="361">
        <v>167666.72</v>
      </c>
      <c r="H46" s="361">
        <v>167666.72</v>
      </c>
      <c r="I46" s="361">
        <v>167666.72</v>
      </c>
      <c r="J46" s="361">
        <v>167666.72</v>
      </c>
      <c r="K46" s="361">
        <v>167666.72</v>
      </c>
      <c r="L46" s="361">
        <v>167666.72</v>
      </c>
      <c r="M46" s="361">
        <v>167666.72</v>
      </c>
      <c r="N46" s="362">
        <v>167666.72</v>
      </c>
      <c r="O46" s="362">
        <v>167666.72</v>
      </c>
      <c r="P46" s="363" t="s">
        <v>1029</v>
      </c>
      <c r="Q46" s="356">
        <v>0</v>
      </c>
      <c r="R46" s="357">
        <v>0</v>
      </c>
      <c r="S46" s="358">
        <v>0</v>
      </c>
      <c r="T46" s="358">
        <v>167667</v>
      </c>
      <c r="U46" s="358">
        <v>0</v>
      </c>
      <c r="V46" s="358"/>
      <c r="W46" s="359">
        <f t="shared" si="0"/>
        <v>-0.27999999999883585</v>
      </c>
      <c r="X46" s="350" t="s">
        <v>599</v>
      </c>
      <c r="Y46" s="358"/>
      <c r="Z46" s="358"/>
      <c r="AA46" s="359"/>
      <c r="AB46" s="350"/>
    </row>
    <row r="47" spans="1:28" s="149" customFormat="1" ht="127.5">
      <c r="A47" s="349">
        <v>42</v>
      </c>
      <c r="B47" s="349" t="s">
        <v>1134</v>
      </c>
      <c r="C47" s="368" t="s">
        <v>1135</v>
      </c>
      <c r="D47" s="360" t="s">
        <v>1136</v>
      </c>
      <c r="E47" s="352" t="s">
        <v>1011</v>
      </c>
      <c r="F47" s="361">
        <v>192294.48</v>
      </c>
      <c r="G47" s="361">
        <v>192294.48</v>
      </c>
      <c r="H47" s="361">
        <v>192294.48</v>
      </c>
      <c r="I47" s="361">
        <v>192294.48</v>
      </c>
      <c r="J47" s="361">
        <v>192294.48</v>
      </c>
      <c r="K47" s="361">
        <v>192294.48</v>
      </c>
      <c r="L47" s="361">
        <v>192294.48</v>
      </c>
      <c r="M47" s="361">
        <v>192294.48</v>
      </c>
      <c r="N47" s="362">
        <v>192294.48</v>
      </c>
      <c r="O47" s="362">
        <v>192294.48</v>
      </c>
      <c r="P47" s="363">
        <v>42865</v>
      </c>
      <c r="Q47" s="356">
        <v>1</v>
      </c>
      <c r="R47" s="357">
        <v>1</v>
      </c>
      <c r="S47" s="358"/>
      <c r="T47" s="358">
        <v>234157</v>
      </c>
      <c r="U47" s="358"/>
      <c r="V47" s="358"/>
      <c r="W47" s="359">
        <f t="shared" si="0"/>
        <v>-41862.51999999999</v>
      </c>
      <c r="X47" s="350" t="s">
        <v>599</v>
      </c>
      <c r="Y47" s="358"/>
      <c r="Z47" s="358"/>
      <c r="AA47" s="359"/>
      <c r="AB47" s="350"/>
    </row>
    <row r="48" spans="1:28" s="149" customFormat="1" ht="63.75">
      <c r="A48" s="349">
        <v>43</v>
      </c>
      <c r="B48" s="349" t="s">
        <v>1137</v>
      </c>
      <c r="C48" s="368" t="s">
        <v>1138</v>
      </c>
      <c r="D48" s="360" t="s">
        <v>1139</v>
      </c>
      <c r="E48" s="352" t="s">
        <v>1011</v>
      </c>
      <c r="F48" s="361">
        <v>338000</v>
      </c>
      <c r="G48" s="361">
        <v>338000</v>
      </c>
      <c r="H48" s="361">
        <v>338000</v>
      </c>
      <c r="I48" s="361">
        <v>338000</v>
      </c>
      <c r="J48" s="361">
        <v>338000</v>
      </c>
      <c r="K48" s="361">
        <v>338000</v>
      </c>
      <c r="L48" s="361">
        <v>338000</v>
      </c>
      <c r="M48" s="361">
        <v>338000</v>
      </c>
      <c r="N48" s="362">
        <v>338000</v>
      </c>
      <c r="O48" s="362">
        <v>338000</v>
      </c>
      <c r="P48" s="363">
        <v>43100</v>
      </c>
      <c r="Q48" s="356">
        <v>1</v>
      </c>
      <c r="R48" s="357">
        <v>0.8</v>
      </c>
      <c r="S48" s="358">
        <v>247197</v>
      </c>
      <c r="T48" s="358">
        <v>3600</v>
      </c>
      <c r="U48" s="358"/>
      <c r="V48" s="358"/>
      <c r="W48" s="359">
        <f t="shared" si="0"/>
        <v>87203</v>
      </c>
      <c r="X48" s="350" t="s">
        <v>599</v>
      </c>
      <c r="Y48" s="358"/>
      <c r="Z48" s="358"/>
      <c r="AA48" s="359"/>
      <c r="AB48" s="350"/>
    </row>
    <row r="49" spans="1:28" s="149" customFormat="1" ht="102">
      <c r="A49" s="349">
        <v>44</v>
      </c>
      <c r="B49" s="349" t="s">
        <v>1140</v>
      </c>
      <c r="C49" s="368" t="s">
        <v>1141</v>
      </c>
      <c r="D49" s="368" t="s">
        <v>1142</v>
      </c>
      <c r="E49" s="352" t="s">
        <v>1011</v>
      </c>
      <c r="F49" s="361">
        <v>312000</v>
      </c>
      <c r="G49" s="361">
        <v>312000</v>
      </c>
      <c r="H49" s="361">
        <v>312000</v>
      </c>
      <c r="I49" s="361">
        <v>312000</v>
      </c>
      <c r="J49" s="361">
        <v>312000</v>
      </c>
      <c r="K49" s="361">
        <v>312000</v>
      </c>
      <c r="L49" s="361">
        <v>312000</v>
      </c>
      <c r="M49" s="361">
        <v>312000</v>
      </c>
      <c r="N49" s="362">
        <v>312000</v>
      </c>
      <c r="O49" s="362">
        <v>312000</v>
      </c>
      <c r="P49" s="363">
        <v>43091</v>
      </c>
      <c r="Q49" s="356">
        <v>1</v>
      </c>
      <c r="R49" s="357">
        <v>0.1</v>
      </c>
      <c r="S49" s="358">
        <v>339900</v>
      </c>
      <c r="T49" s="358">
        <v>0</v>
      </c>
      <c r="U49" s="358"/>
      <c r="V49" s="358"/>
      <c r="W49" s="359">
        <f t="shared" si="0"/>
        <v>-27900</v>
      </c>
      <c r="X49" s="350" t="s">
        <v>599</v>
      </c>
      <c r="Y49" s="358"/>
      <c r="Z49" s="358"/>
      <c r="AA49" s="359"/>
      <c r="AB49" s="350"/>
    </row>
    <row r="50" spans="1:28" s="149" customFormat="1" ht="127.5">
      <c r="A50" s="349">
        <v>45</v>
      </c>
      <c r="B50" s="349" t="s">
        <v>1143</v>
      </c>
      <c r="C50" s="360" t="s">
        <v>1144</v>
      </c>
      <c r="D50" s="360" t="s">
        <v>1136</v>
      </c>
      <c r="E50" s="352" t="s">
        <v>1011</v>
      </c>
      <c r="F50" s="361">
        <v>633900.80000000005</v>
      </c>
      <c r="G50" s="361">
        <v>633900.80000000005</v>
      </c>
      <c r="H50" s="361">
        <v>633900.80000000005</v>
      </c>
      <c r="I50" s="361">
        <v>633900.80000000005</v>
      </c>
      <c r="J50" s="361">
        <v>633900.80000000005</v>
      </c>
      <c r="K50" s="361">
        <v>633900.80000000005</v>
      </c>
      <c r="L50" s="361">
        <v>633900.80000000005</v>
      </c>
      <c r="M50" s="361">
        <v>633900.80000000005</v>
      </c>
      <c r="N50" s="362">
        <v>633900.80000000005</v>
      </c>
      <c r="O50" s="362">
        <v>633900.80000000005</v>
      </c>
      <c r="P50" s="363" t="s">
        <v>1029</v>
      </c>
      <c r="Q50" s="356">
        <v>0</v>
      </c>
      <c r="R50" s="357">
        <v>0</v>
      </c>
      <c r="S50" s="358">
        <v>0</v>
      </c>
      <c r="T50" s="358">
        <v>633901</v>
      </c>
      <c r="U50" s="358">
        <v>0</v>
      </c>
      <c r="V50" s="358"/>
      <c r="W50" s="359">
        <f t="shared" si="0"/>
        <v>-0.19999999995343387</v>
      </c>
      <c r="X50" s="350" t="s">
        <v>599</v>
      </c>
      <c r="Y50" s="358"/>
      <c r="Z50" s="358"/>
      <c r="AA50" s="359"/>
      <c r="AB50" s="350"/>
    </row>
    <row r="51" spans="1:28" s="149" customFormat="1" ht="76.5">
      <c r="A51" s="349">
        <v>46</v>
      </c>
      <c r="B51" s="349" t="s">
        <v>1145</v>
      </c>
      <c r="C51" s="360" t="s">
        <v>1146</v>
      </c>
      <c r="D51" s="360" t="s">
        <v>1139</v>
      </c>
      <c r="E51" s="352" t="s">
        <v>1011</v>
      </c>
      <c r="F51" s="361">
        <v>325000</v>
      </c>
      <c r="G51" s="361">
        <v>325000</v>
      </c>
      <c r="H51" s="361">
        <v>325000</v>
      </c>
      <c r="I51" s="361">
        <v>325000</v>
      </c>
      <c r="J51" s="361">
        <v>325000</v>
      </c>
      <c r="K51" s="361">
        <v>325000</v>
      </c>
      <c r="L51" s="361">
        <v>325000</v>
      </c>
      <c r="M51" s="361">
        <v>325000</v>
      </c>
      <c r="N51" s="362">
        <v>325000</v>
      </c>
      <c r="O51" s="362">
        <v>325000</v>
      </c>
      <c r="P51" s="363">
        <v>43100</v>
      </c>
      <c r="Q51" s="356">
        <v>1</v>
      </c>
      <c r="R51" s="357">
        <v>0.99</v>
      </c>
      <c r="S51" s="358">
        <v>163459.26999999999</v>
      </c>
      <c r="T51" s="358">
        <v>133132.73000000001</v>
      </c>
      <c r="U51" s="358"/>
      <c r="V51" s="358"/>
      <c r="W51" s="359">
        <f t="shared" si="0"/>
        <v>28408</v>
      </c>
      <c r="X51" s="350" t="s">
        <v>599</v>
      </c>
      <c r="Y51" s="358"/>
      <c r="Z51" s="358"/>
      <c r="AA51" s="359"/>
      <c r="AB51" s="350"/>
    </row>
    <row r="52" spans="1:28" s="149" customFormat="1" ht="63.75">
      <c r="A52" s="349">
        <v>47</v>
      </c>
      <c r="B52" s="350" t="s">
        <v>1147</v>
      </c>
      <c r="C52" s="368" t="s">
        <v>1148</v>
      </c>
      <c r="D52" s="360" t="s">
        <v>1149</v>
      </c>
      <c r="E52" s="352" t="s">
        <v>1011</v>
      </c>
      <c r="F52" s="361">
        <v>430981.2</v>
      </c>
      <c r="G52" s="361">
        <v>430981.2</v>
      </c>
      <c r="H52" s="361">
        <v>430981.2</v>
      </c>
      <c r="I52" s="361">
        <v>430981.2</v>
      </c>
      <c r="J52" s="361">
        <v>430981.2</v>
      </c>
      <c r="K52" s="361">
        <v>430981.2</v>
      </c>
      <c r="L52" s="361">
        <v>430981.2</v>
      </c>
      <c r="M52" s="361">
        <v>430981.2</v>
      </c>
      <c r="N52" s="362">
        <v>430981.2</v>
      </c>
      <c r="O52" s="362">
        <v>430981.2</v>
      </c>
      <c r="P52" s="363" t="s">
        <v>1029</v>
      </c>
      <c r="Q52" s="356">
        <v>0</v>
      </c>
      <c r="R52" s="357">
        <v>0</v>
      </c>
      <c r="S52" s="358">
        <v>0</v>
      </c>
      <c r="T52" s="358">
        <v>430981</v>
      </c>
      <c r="U52" s="358">
        <v>0</v>
      </c>
      <c r="V52" s="358"/>
      <c r="W52" s="358">
        <f t="shared" si="0"/>
        <v>0.20000000001164153</v>
      </c>
      <c r="X52" s="350" t="s">
        <v>599</v>
      </c>
      <c r="Y52" s="358"/>
      <c r="Z52" s="358"/>
      <c r="AA52" s="359"/>
      <c r="AB52" s="350"/>
    </row>
    <row r="53" spans="1:28" s="149" customFormat="1" ht="89.25">
      <c r="A53" s="349">
        <v>48</v>
      </c>
      <c r="B53" s="349" t="s">
        <v>1150</v>
      </c>
      <c r="C53" s="360" t="s">
        <v>1151</v>
      </c>
      <c r="D53" s="360" t="s">
        <v>1152</v>
      </c>
      <c r="E53" s="352" t="s">
        <v>1011</v>
      </c>
      <c r="F53" s="361">
        <v>10000</v>
      </c>
      <c r="G53" s="361">
        <v>10000</v>
      </c>
      <c r="H53" s="361">
        <v>10000</v>
      </c>
      <c r="I53" s="361">
        <v>10000</v>
      </c>
      <c r="J53" s="361">
        <v>10000</v>
      </c>
      <c r="K53" s="361">
        <v>10000</v>
      </c>
      <c r="L53" s="361">
        <v>10000</v>
      </c>
      <c r="M53" s="361">
        <v>10000</v>
      </c>
      <c r="N53" s="362">
        <v>10000</v>
      </c>
      <c r="O53" s="362">
        <v>10000</v>
      </c>
      <c r="P53" s="363" t="s">
        <v>1029</v>
      </c>
      <c r="Q53" s="356">
        <v>0</v>
      </c>
      <c r="R53" s="357">
        <v>0</v>
      </c>
      <c r="S53" s="358"/>
      <c r="T53" s="358">
        <v>10000</v>
      </c>
      <c r="U53" s="358"/>
      <c r="V53" s="358"/>
      <c r="W53" s="359">
        <f t="shared" si="0"/>
        <v>0</v>
      </c>
      <c r="X53" s="350" t="s">
        <v>599</v>
      </c>
      <c r="Y53" s="358"/>
      <c r="Z53" s="358"/>
      <c r="AA53" s="359"/>
      <c r="AB53" s="350"/>
    </row>
    <row r="54" spans="1:28" s="149" customFormat="1" ht="76.5">
      <c r="A54" s="349">
        <v>49</v>
      </c>
      <c r="B54" s="349" t="s">
        <v>1153</v>
      </c>
      <c r="C54" s="360" t="s">
        <v>1154</v>
      </c>
      <c r="D54" s="360" t="s">
        <v>1155</v>
      </c>
      <c r="E54" s="352" t="s">
        <v>1011</v>
      </c>
      <c r="F54" s="361">
        <v>325000</v>
      </c>
      <c r="G54" s="361">
        <v>325000</v>
      </c>
      <c r="H54" s="361">
        <v>325000</v>
      </c>
      <c r="I54" s="361">
        <v>325000</v>
      </c>
      <c r="J54" s="361">
        <v>325000</v>
      </c>
      <c r="K54" s="361">
        <v>325000</v>
      </c>
      <c r="L54" s="361">
        <v>325000</v>
      </c>
      <c r="M54" s="361">
        <v>325000</v>
      </c>
      <c r="N54" s="362">
        <v>325000</v>
      </c>
      <c r="O54" s="362">
        <v>325000</v>
      </c>
      <c r="P54" s="363">
        <v>42663</v>
      </c>
      <c r="Q54" s="356">
        <v>1</v>
      </c>
      <c r="R54" s="357">
        <v>1</v>
      </c>
      <c r="S54" s="358">
        <v>0</v>
      </c>
      <c r="T54" s="358">
        <v>2500</v>
      </c>
      <c r="U54" s="358">
        <v>0</v>
      </c>
      <c r="V54" s="358"/>
      <c r="W54" s="359">
        <f t="shared" si="0"/>
        <v>322500</v>
      </c>
      <c r="X54" s="350" t="s">
        <v>599</v>
      </c>
      <c r="Y54" s="358"/>
      <c r="Z54" s="358"/>
      <c r="AA54" s="359"/>
      <c r="AB54" s="350"/>
    </row>
    <row r="55" spans="1:28" s="149" customFormat="1" ht="63.75">
      <c r="A55" s="349">
        <v>50</v>
      </c>
      <c r="B55" s="349" t="s">
        <v>1156</v>
      </c>
      <c r="C55" s="360" t="s">
        <v>1157</v>
      </c>
      <c r="D55" s="360" t="s">
        <v>1152</v>
      </c>
      <c r="E55" s="352" t="s">
        <v>1011</v>
      </c>
      <c r="F55" s="361">
        <v>10000</v>
      </c>
      <c r="G55" s="361">
        <v>10000</v>
      </c>
      <c r="H55" s="361">
        <v>10000</v>
      </c>
      <c r="I55" s="361">
        <v>10000</v>
      </c>
      <c r="J55" s="361">
        <v>10000</v>
      </c>
      <c r="K55" s="361">
        <v>10000</v>
      </c>
      <c r="L55" s="361">
        <v>10000</v>
      </c>
      <c r="M55" s="361">
        <v>10000</v>
      </c>
      <c r="N55" s="362">
        <v>10000</v>
      </c>
      <c r="O55" s="362">
        <v>10000</v>
      </c>
      <c r="P55" s="363">
        <v>43084</v>
      </c>
      <c r="Q55" s="356">
        <v>1</v>
      </c>
      <c r="R55" s="357">
        <v>0.9</v>
      </c>
      <c r="S55" s="358">
        <v>12500</v>
      </c>
      <c r="T55" s="358">
        <v>0</v>
      </c>
      <c r="U55" s="358"/>
      <c r="V55" s="358"/>
      <c r="W55" s="359">
        <f t="shared" si="0"/>
        <v>-2500</v>
      </c>
      <c r="X55" s="350" t="s">
        <v>599</v>
      </c>
      <c r="Y55" s="358"/>
      <c r="Z55" s="358"/>
      <c r="AA55" s="359"/>
      <c r="AB55" s="350"/>
    </row>
    <row r="56" spans="1:28" s="149" customFormat="1" ht="63.75">
      <c r="A56" s="349">
        <v>51</v>
      </c>
      <c r="B56" s="349" t="s">
        <v>1158</v>
      </c>
      <c r="C56" s="360" t="s">
        <v>1159</v>
      </c>
      <c r="D56" s="360" t="s">
        <v>1155</v>
      </c>
      <c r="E56" s="352" t="s">
        <v>1011</v>
      </c>
      <c r="F56" s="361">
        <v>150000</v>
      </c>
      <c r="G56" s="361">
        <v>150000</v>
      </c>
      <c r="H56" s="361">
        <v>150000</v>
      </c>
      <c r="I56" s="361">
        <v>150000</v>
      </c>
      <c r="J56" s="361">
        <v>150000</v>
      </c>
      <c r="K56" s="361">
        <v>150000</v>
      </c>
      <c r="L56" s="361">
        <v>150000</v>
      </c>
      <c r="M56" s="361">
        <v>150000</v>
      </c>
      <c r="N56" s="362">
        <v>150000</v>
      </c>
      <c r="O56" s="362">
        <v>150000</v>
      </c>
      <c r="P56" s="363">
        <v>42661</v>
      </c>
      <c r="Q56" s="356">
        <v>1</v>
      </c>
      <c r="R56" s="357">
        <v>1</v>
      </c>
      <c r="S56" s="358">
        <v>0</v>
      </c>
      <c r="T56" s="358">
        <v>1950</v>
      </c>
      <c r="U56" s="358">
        <v>0</v>
      </c>
      <c r="V56" s="358"/>
      <c r="W56" s="359">
        <f t="shared" si="0"/>
        <v>148050</v>
      </c>
      <c r="X56" s="350" t="s">
        <v>599</v>
      </c>
      <c r="Y56" s="358"/>
      <c r="Z56" s="358"/>
      <c r="AA56" s="359"/>
      <c r="AB56" s="350"/>
    </row>
    <row r="57" spans="1:28" s="149" customFormat="1" ht="76.5">
      <c r="A57" s="349">
        <v>52</v>
      </c>
      <c r="B57" s="349" t="s">
        <v>1160</v>
      </c>
      <c r="C57" s="360" t="s">
        <v>1161</v>
      </c>
      <c r="D57" s="360" t="s">
        <v>1162</v>
      </c>
      <c r="E57" s="352" t="s">
        <v>1011</v>
      </c>
      <c r="F57" s="361">
        <v>2954.64</v>
      </c>
      <c r="G57" s="361">
        <v>2954.64</v>
      </c>
      <c r="H57" s="361">
        <v>2954.64</v>
      </c>
      <c r="I57" s="361">
        <v>2954.64</v>
      </c>
      <c r="J57" s="361">
        <v>2954.64</v>
      </c>
      <c r="K57" s="361">
        <v>2954.64</v>
      </c>
      <c r="L57" s="361">
        <v>2954.64</v>
      </c>
      <c r="M57" s="361">
        <v>2954.64</v>
      </c>
      <c r="N57" s="362">
        <v>2954.64</v>
      </c>
      <c r="O57" s="362">
        <v>2954.64</v>
      </c>
      <c r="P57" s="363">
        <v>42968</v>
      </c>
      <c r="Q57" s="356">
        <v>1</v>
      </c>
      <c r="R57" s="357">
        <v>1</v>
      </c>
      <c r="S57" s="369"/>
      <c r="T57" s="358">
        <v>91500</v>
      </c>
      <c r="U57" s="369"/>
      <c r="V57" s="358"/>
      <c r="W57" s="359">
        <f t="shared" si="0"/>
        <v>-88545.36</v>
      </c>
      <c r="X57" s="350" t="s">
        <v>599</v>
      </c>
      <c r="Y57" s="369"/>
      <c r="Z57" s="358"/>
      <c r="AA57" s="359"/>
      <c r="AB57" s="350"/>
    </row>
    <row r="58" spans="1:28" s="149" customFormat="1" ht="51">
      <c r="A58" s="349">
        <v>53</v>
      </c>
      <c r="B58" s="350" t="s">
        <v>1163</v>
      </c>
      <c r="C58" s="351" t="s">
        <v>1164</v>
      </c>
      <c r="D58" s="352" t="s">
        <v>1165</v>
      </c>
      <c r="E58" s="352" t="s">
        <v>1011</v>
      </c>
      <c r="F58" s="353">
        <f>0.0514*12000000</f>
        <v>616800</v>
      </c>
      <c r="G58" s="353">
        <f>0.0514*12000000</f>
        <v>616800</v>
      </c>
      <c r="H58" s="353">
        <v>300000</v>
      </c>
      <c r="I58" s="353">
        <v>300000</v>
      </c>
      <c r="J58" s="353">
        <v>300000</v>
      </c>
      <c r="K58" s="353">
        <v>300000</v>
      </c>
      <c r="L58" s="353">
        <v>300000</v>
      </c>
      <c r="M58" s="353">
        <v>300000</v>
      </c>
      <c r="N58" s="354">
        <v>616800</v>
      </c>
      <c r="O58" s="354">
        <v>616800</v>
      </c>
      <c r="P58" s="363" t="s">
        <v>1029</v>
      </c>
      <c r="Q58" s="356" t="s">
        <v>794</v>
      </c>
      <c r="R58" s="357" t="s">
        <v>794</v>
      </c>
      <c r="S58" s="358">
        <v>0</v>
      </c>
      <c r="T58" s="358">
        <v>757500</v>
      </c>
      <c r="U58" s="358">
        <v>0</v>
      </c>
      <c r="V58" s="358"/>
      <c r="W58" s="359">
        <f t="shared" si="0"/>
        <v>-140700</v>
      </c>
      <c r="X58" s="350" t="s">
        <v>599</v>
      </c>
      <c r="Y58" s="358"/>
      <c r="Z58" s="358"/>
      <c r="AA58" s="359"/>
      <c r="AB58" s="350"/>
    </row>
    <row r="59" spans="1:28" s="149" customFormat="1" ht="102">
      <c r="A59" s="349">
        <v>54</v>
      </c>
      <c r="B59" s="350" t="s">
        <v>1166</v>
      </c>
      <c r="C59" s="351" t="s">
        <v>1167</v>
      </c>
      <c r="D59" s="360" t="s">
        <v>1168</v>
      </c>
      <c r="E59" s="352" t="s">
        <v>1025</v>
      </c>
      <c r="F59" s="361">
        <v>0</v>
      </c>
      <c r="G59" s="361">
        <v>0</v>
      </c>
      <c r="H59" s="361">
        <v>100000</v>
      </c>
      <c r="I59" s="361">
        <v>100000</v>
      </c>
      <c r="J59" s="361">
        <v>100000</v>
      </c>
      <c r="K59" s="361">
        <v>100000</v>
      </c>
      <c r="L59" s="361">
        <v>100000</v>
      </c>
      <c r="M59" s="361">
        <v>100000</v>
      </c>
      <c r="N59" s="362">
        <v>100000</v>
      </c>
      <c r="O59" s="362">
        <v>100000</v>
      </c>
      <c r="P59" s="363">
        <v>42717</v>
      </c>
      <c r="Q59" s="356">
        <v>1</v>
      </c>
      <c r="R59" s="357">
        <v>1</v>
      </c>
      <c r="S59" s="365">
        <v>0</v>
      </c>
      <c r="T59" s="365">
        <v>80949</v>
      </c>
      <c r="U59" s="365">
        <v>0</v>
      </c>
      <c r="V59" s="365"/>
      <c r="W59" s="359">
        <f t="shared" si="0"/>
        <v>19051</v>
      </c>
      <c r="X59" s="350" t="s">
        <v>599</v>
      </c>
      <c r="Y59" s="365"/>
      <c r="Z59" s="365"/>
      <c r="AA59" s="359"/>
      <c r="AB59" s="350"/>
    </row>
    <row r="60" spans="1:28" s="149" customFormat="1" ht="127.5">
      <c r="A60" s="349">
        <v>55</v>
      </c>
      <c r="B60" s="370" t="s">
        <v>1169</v>
      </c>
      <c r="C60" s="368" t="s">
        <v>1170</v>
      </c>
      <c r="D60" s="360" t="s">
        <v>1136</v>
      </c>
      <c r="E60" s="352" t="s">
        <v>1025</v>
      </c>
      <c r="F60" s="361">
        <v>168720.24</v>
      </c>
      <c r="G60" s="361">
        <v>168720.24</v>
      </c>
      <c r="H60" s="361">
        <v>168720.24</v>
      </c>
      <c r="I60" s="361">
        <v>168720.24</v>
      </c>
      <c r="J60" s="361">
        <v>168720.24</v>
      </c>
      <c r="K60" s="361">
        <v>168720.24</v>
      </c>
      <c r="L60" s="361">
        <v>168720.24</v>
      </c>
      <c r="M60" s="361">
        <v>168720.24</v>
      </c>
      <c r="N60" s="362">
        <v>168720.24</v>
      </c>
      <c r="O60" s="362">
        <v>168720.24</v>
      </c>
      <c r="P60" s="363">
        <v>42797</v>
      </c>
      <c r="Q60" s="356">
        <v>1</v>
      </c>
      <c r="R60" s="357">
        <v>1</v>
      </c>
      <c r="S60" s="358"/>
      <c r="T60" s="358">
        <v>23719</v>
      </c>
      <c r="U60" s="358"/>
      <c r="V60" s="358"/>
      <c r="W60" s="359">
        <f t="shared" si="0"/>
        <v>145001.24</v>
      </c>
      <c r="X60" s="350" t="s">
        <v>599</v>
      </c>
      <c r="Y60" s="358"/>
      <c r="Z60" s="358"/>
      <c r="AA60" s="359"/>
      <c r="AB60" s="350"/>
    </row>
    <row r="61" spans="1:28" s="149" customFormat="1" ht="102">
      <c r="A61" s="349">
        <v>56</v>
      </c>
      <c r="B61" s="370" t="s">
        <v>1171</v>
      </c>
      <c r="C61" s="368" t="s">
        <v>1172</v>
      </c>
      <c r="D61" s="360" t="s">
        <v>1173</v>
      </c>
      <c r="E61" s="352" t="s">
        <v>1025</v>
      </c>
      <c r="F61" s="361">
        <v>130000</v>
      </c>
      <c r="G61" s="361">
        <v>130000</v>
      </c>
      <c r="H61" s="361">
        <v>130000</v>
      </c>
      <c r="I61" s="361">
        <v>130000</v>
      </c>
      <c r="J61" s="361">
        <v>130000</v>
      </c>
      <c r="K61" s="361">
        <v>130000</v>
      </c>
      <c r="L61" s="361">
        <v>130000</v>
      </c>
      <c r="M61" s="361">
        <v>130000</v>
      </c>
      <c r="N61" s="362">
        <v>130000</v>
      </c>
      <c r="O61" s="362">
        <v>130000</v>
      </c>
      <c r="P61" s="363">
        <v>42892</v>
      </c>
      <c r="Q61" s="356">
        <v>1</v>
      </c>
      <c r="R61" s="357">
        <v>1</v>
      </c>
      <c r="S61" s="358">
        <v>500</v>
      </c>
      <c r="T61" s="358">
        <v>79611</v>
      </c>
      <c r="U61" s="358"/>
      <c r="V61" s="358"/>
      <c r="W61" s="359">
        <f t="shared" si="0"/>
        <v>49889</v>
      </c>
      <c r="X61" s="350" t="s">
        <v>599</v>
      </c>
      <c r="Y61" s="358"/>
      <c r="Z61" s="358"/>
      <c r="AA61" s="359"/>
      <c r="AB61" s="350"/>
    </row>
    <row r="62" spans="1:28" s="149" customFormat="1" ht="102">
      <c r="A62" s="349">
        <v>57</v>
      </c>
      <c r="B62" s="370" t="s">
        <v>1174</v>
      </c>
      <c r="C62" s="368" t="s">
        <v>1175</v>
      </c>
      <c r="D62" s="360" t="s">
        <v>1139</v>
      </c>
      <c r="E62" s="352" t="s">
        <v>1025</v>
      </c>
      <c r="F62" s="361">
        <v>182000</v>
      </c>
      <c r="G62" s="361">
        <v>182000</v>
      </c>
      <c r="H62" s="361">
        <v>182000</v>
      </c>
      <c r="I62" s="361">
        <v>182000</v>
      </c>
      <c r="J62" s="361">
        <v>182000</v>
      </c>
      <c r="K62" s="361">
        <v>182000</v>
      </c>
      <c r="L62" s="361">
        <v>182000</v>
      </c>
      <c r="M62" s="361">
        <v>182000</v>
      </c>
      <c r="N62" s="362">
        <v>182000</v>
      </c>
      <c r="O62" s="362">
        <v>182000</v>
      </c>
      <c r="P62" s="363">
        <v>42901</v>
      </c>
      <c r="Q62" s="356">
        <v>1</v>
      </c>
      <c r="R62" s="357">
        <v>1</v>
      </c>
      <c r="S62" s="358"/>
      <c r="T62" s="358">
        <v>79460</v>
      </c>
      <c r="U62" s="358"/>
      <c r="V62" s="358"/>
      <c r="W62" s="359">
        <f t="shared" si="0"/>
        <v>102540</v>
      </c>
      <c r="X62" s="350" t="s">
        <v>599</v>
      </c>
      <c r="Y62" s="358"/>
      <c r="Z62" s="358"/>
      <c r="AA62" s="359"/>
      <c r="AB62" s="350"/>
    </row>
    <row r="63" spans="1:28" s="149" customFormat="1" ht="153">
      <c r="A63" s="349">
        <v>58</v>
      </c>
      <c r="B63" s="370" t="s">
        <v>1176</v>
      </c>
      <c r="C63" s="360" t="s">
        <v>1177</v>
      </c>
      <c r="D63" s="360" t="s">
        <v>1178</v>
      </c>
      <c r="E63" s="352" t="s">
        <v>1025</v>
      </c>
      <c r="F63" s="361">
        <v>132242.23999999999</v>
      </c>
      <c r="G63" s="361">
        <v>132242.23999999999</v>
      </c>
      <c r="H63" s="361">
        <v>132242.23999999999</v>
      </c>
      <c r="I63" s="361">
        <v>132242.23999999999</v>
      </c>
      <c r="J63" s="361">
        <v>132242.23999999999</v>
      </c>
      <c r="K63" s="361">
        <v>132242.23999999999</v>
      </c>
      <c r="L63" s="361">
        <v>132242.23999999999</v>
      </c>
      <c r="M63" s="361">
        <v>132242.23999999999</v>
      </c>
      <c r="N63" s="362">
        <v>132242.23999999999</v>
      </c>
      <c r="O63" s="362">
        <v>132242.23999999999</v>
      </c>
      <c r="P63" s="363" t="s">
        <v>1179</v>
      </c>
      <c r="Q63" s="356">
        <v>1</v>
      </c>
      <c r="R63" s="357">
        <v>1</v>
      </c>
      <c r="S63" s="358">
        <v>0</v>
      </c>
      <c r="T63" s="358">
        <v>0</v>
      </c>
      <c r="U63" s="358">
        <v>0</v>
      </c>
      <c r="V63" s="358">
        <v>0</v>
      </c>
      <c r="W63" s="359">
        <f t="shared" si="0"/>
        <v>132242.23999999999</v>
      </c>
      <c r="X63" s="350" t="s">
        <v>599</v>
      </c>
      <c r="Y63" s="358"/>
      <c r="Z63" s="358"/>
      <c r="AA63" s="359"/>
      <c r="AB63" s="350"/>
    </row>
    <row r="64" spans="1:28" s="149" customFormat="1" ht="102">
      <c r="A64" s="349">
        <v>59</v>
      </c>
      <c r="B64" s="370" t="s">
        <v>1180</v>
      </c>
      <c r="C64" s="360" t="s">
        <v>1181</v>
      </c>
      <c r="D64" s="360" t="s">
        <v>1182</v>
      </c>
      <c r="E64" s="352" t="s">
        <v>1025</v>
      </c>
      <c r="F64" s="361">
        <v>117413.92</v>
      </c>
      <c r="G64" s="361">
        <v>117413.92</v>
      </c>
      <c r="H64" s="361">
        <v>117413.92</v>
      </c>
      <c r="I64" s="361">
        <v>117413.92</v>
      </c>
      <c r="J64" s="361">
        <v>117413.92</v>
      </c>
      <c r="K64" s="361">
        <v>117413.92</v>
      </c>
      <c r="L64" s="361">
        <v>117413.92</v>
      </c>
      <c r="M64" s="361">
        <v>117413.92</v>
      </c>
      <c r="N64" s="362">
        <v>117413.92</v>
      </c>
      <c r="O64" s="362">
        <v>117413.92</v>
      </c>
      <c r="P64" s="363">
        <v>43159</v>
      </c>
      <c r="Q64" s="356">
        <v>1</v>
      </c>
      <c r="R64" s="357">
        <v>0</v>
      </c>
      <c r="S64" s="358"/>
      <c r="T64" s="358">
        <v>0</v>
      </c>
      <c r="U64" s="358"/>
      <c r="V64" s="358">
        <v>0</v>
      </c>
      <c r="W64" s="359">
        <f t="shared" si="0"/>
        <v>117413.92</v>
      </c>
      <c r="X64" s="350" t="s">
        <v>599</v>
      </c>
      <c r="Y64" s="358"/>
      <c r="Z64" s="358"/>
      <c r="AA64" s="359"/>
      <c r="AB64" s="350"/>
    </row>
    <row r="65" spans="1:28" s="149" customFormat="1" ht="102">
      <c r="A65" s="349">
        <v>60</v>
      </c>
      <c r="B65" s="370" t="s">
        <v>1183</v>
      </c>
      <c r="C65" s="360" t="s">
        <v>1184</v>
      </c>
      <c r="D65" s="360" t="s">
        <v>1185</v>
      </c>
      <c r="E65" s="352" t="s">
        <v>1025</v>
      </c>
      <c r="F65" s="361">
        <v>133023.28</v>
      </c>
      <c r="G65" s="361">
        <v>133023.28</v>
      </c>
      <c r="H65" s="361">
        <v>133023.28</v>
      </c>
      <c r="I65" s="361">
        <v>133023.28</v>
      </c>
      <c r="J65" s="361">
        <v>133023.28</v>
      </c>
      <c r="K65" s="361">
        <v>133023.28</v>
      </c>
      <c r="L65" s="361">
        <v>133023.28</v>
      </c>
      <c r="M65" s="361">
        <v>133023.28</v>
      </c>
      <c r="N65" s="362">
        <v>133023.28</v>
      </c>
      <c r="O65" s="362">
        <v>133023.28</v>
      </c>
      <c r="P65" s="363">
        <v>43159</v>
      </c>
      <c r="Q65" s="356">
        <v>1</v>
      </c>
      <c r="R65" s="357">
        <v>0.1</v>
      </c>
      <c r="S65" s="358">
        <v>94802</v>
      </c>
      <c r="T65" s="358">
        <v>0</v>
      </c>
      <c r="U65" s="358"/>
      <c r="V65" s="358">
        <v>0</v>
      </c>
      <c r="W65" s="359">
        <f t="shared" si="0"/>
        <v>38221.279999999999</v>
      </c>
      <c r="X65" s="350" t="s">
        <v>599</v>
      </c>
      <c r="Y65" s="358"/>
      <c r="Z65" s="358"/>
      <c r="AA65" s="359"/>
      <c r="AB65" s="350"/>
    </row>
    <row r="66" spans="1:28" s="149" customFormat="1" ht="102">
      <c r="A66" s="349">
        <v>61</v>
      </c>
      <c r="B66" s="370" t="s">
        <v>1186</v>
      </c>
      <c r="C66" s="360" t="s">
        <v>1187</v>
      </c>
      <c r="D66" s="360" t="s">
        <v>1185</v>
      </c>
      <c r="E66" s="352" t="s">
        <v>1025</v>
      </c>
      <c r="F66" s="361">
        <v>102397.2</v>
      </c>
      <c r="G66" s="361">
        <v>102397.2</v>
      </c>
      <c r="H66" s="361">
        <v>102397.2</v>
      </c>
      <c r="I66" s="361">
        <v>102397.2</v>
      </c>
      <c r="J66" s="361">
        <v>102397.2</v>
      </c>
      <c r="K66" s="361">
        <v>102397.2</v>
      </c>
      <c r="L66" s="361">
        <v>102397.2</v>
      </c>
      <c r="M66" s="361">
        <v>102397.2</v>
      </c>
      <c r="N66" s="362">
        <v>102397.2</v>
      </c>
      <c r="O66" s="362">
        <v>102397.2</v>
      </c>
      <c r="P66" s="363">
        <v>42949</v>
      </c>
      <c r="Q66" s="356">
        <v>1</v>
      </c>
      <c r="R66" s="357">
        <v>1</v>
      </c>
      <c r="S66" s="358"/>
      <c r="T66" s="358">
        <v>64950</v>
      </c>
      <c r="U66" s="358"/>
      <c r="V66" s="358"/>
      <c r="W66" s="359">
        <f t="shared" si="0"/>
        <v>37447.199999999997</v>
      </c>
      <c r="X66" s="350" t="s">
        <v>599</v>
      </c>
      <c r="Y66" s="358"/>
      <c r="Z66" s="358"/>
      <c r="AA66" s="359"/>
      <c r="AB66" s="350"/>
    </row>
    <row r="67" spans="1:28" s="149" customFormat="1" ht="102">
      <c r="A67" s="349">
        <v>62</v>
      </c>
      <c r="B67" s="371" t="s">
        <v>1188</v>
      </c>
      <c r="C67" s="368" t="s">
        <v>1189</v>
      </c>
      <c r="D67" s="360" t="s">
        <v>1190</v>
      </c>
      <c r="E67" s="352" t="s">
        <v>1025</v>
      </c>
      <c r="F67" s="361">
        <v>49042.239999999998</v>
      </c>
      <c r="G67" s="361">
        <v>49042.239999999998</v>
      </c>
      <c r="H67" s="361">
        <v>49042.239999999998</v>
      </c>
      <c r="I67" s="361">
        <v>49042.239999999998</v>
      </c>
      <c r="J67" s="361">
        <v>49042.239999999998</v>
      </c>
      <c r="K67" s="361">
        <v>49042.239999999998</v>
      </c>
      <c r="L67" s="361">
        <v>49042.239999999998</v>
      </c>
      <c r="M67" s="361">
        <v>49042.239999999998</v>
      </c>
      <c r="N67" s="362">
        <v>49042.239999999998</v>
      </c>
      <c r="O67" s="362">
        <v>49042.239999999998</v>
      </c>
      <c r="P67" s="363">
        <v>43190</v>
      </c>
      <c r="Q67" s="356">
        <v>1</v>
      </c>
      <c r="R67" s="357">
        <v>0</v>
      </c>
      <c r="S67" s="358">
        <v>0</v>
      </c>
      <c r="T67" s="358">
        <v>0</v>
      </c>
      <c r="U67" s="358">
        <v>0</v>
      </c>
      <c r="V67" s="358">
        <v>0</v>
      </c>
      <c r="W67" s="359">
        <f t="shared" si="0"/>
        <v>49042.239999999998</v>
      </c>
      <c r="X67" s="350" t="s">
        <v>599</v>
      </c>
      <c r="Y67" s="358"/>
      <c r="Z67" s="358"/>
      <c r="AA67" s="359"/>
      <c r="AB67" s="350"/>
    </row>
    <row r="68" spans="1:28" s="149" customFormat="1" ht="102">
      <c r="A68" s="349">
        <v>63</v>
      </c>
      <c r="B68" s="371" t="s">
        <v>1191</v>
      </c>
      <c r="C68" s="368" t="s">
        <v>1192</v>
      </c>
      <c r="D68" s="360" t="s">
        <v>1193</v>
      </c>
      <c r="E68" s="352" t="s">
        <v>1025</v>
      </c>
      <c r="F68" s="361">
        <v>98962.240000000005</v>
      </c>
      <c r="G68" s="361">
        <v>98962.240000000005</v>
      </c>
      <c r="H68" s="361">
        <v>98962.240000000005</v>
      </c>
      <c r="I68" s="361">
        <v>98962.240000000005</v>
      </c>
      <c r="J68" s="361">
        <v>98962.240000000005</v>
      </c>
      <c r="K68" s="361">
        <v>98962.240000000005</v>
      </c>
      <c r="L68" s="361">
        <v>98962.240000000005</v>
      </c>
      <c r="M68" s="361">
        <v>98962.240000000005</v>
      </c>
      <c r="N68" s="362">
        <v>98962.240000000005</v>
      </c>
      <c r="O68" s="362">
        <v>98962.240000000005</v>
      </c>
      <c r="P68" s="363" t="s">
        <v>1194</v>
      </c>
      <c r="Q68" s="356">
        <v>0</v>
      </c>
      <c r="R68" s="357">
        <v>0</v>
      </c>
      <c r="S68" s="358">
        <v>0</v>
      </c>
      <c r="T68" s="358">
        <v>0</v>
      </c>
      <c r="U68" s="358">
        <v>0</v>
      </c>
      <c r="V68" s="358">
        <v>0</v>
      </c>
      <c r="W68" s="359">
        <f t="shared" si="0"/>
        <v>98962.240000000005</v>
      </c>
      <c r="X68" s="350" t="s">
        <v>599</v>
      </c>
      <c r="Y68" s="358"/>
      <c r="Z68" s="358"/>
      <c r="AA68" s="359"/>
      <c r="AB68" s="350"/>
    </row>
    <row r="69" spans="1:28" s="149" customFormat="1" ht="102">
      <c r="A69" s="349">
        <v>64</v>
      </c>
      <c r="B69" s="371" t="s">
        <v>1195</v>
      </c>
      <c r="C69" s="368" t="s">
        <v>1196</v>
      </c>
      <c r="D69" s="360" t="s">
        <v>1197</v>
      </c>
      <c r="E69" s="352" t="s">
        <v>1025</v>
      </c>
      <c r="F69" s="361">
        <v>789058.4</v>
      </c>
      <c r="G69" s="361">
        <v>789058.4</v>
      </c>
      <c r="H69" s="361">
        <v>789058.4</v>
      </c>
      <c r="I69" s="361">
        <v>789058.4</v>
      </c>
      <c r="J69" s="361">
        <v>789058.4</v>
      </c>
      <c r="K69" s="361">
        <v>789058.4</v>
      </c>
      <c r="L69" s="361">
        <v>789058.4</v>
      </c>
      <c r="M69" s="361">
        <v>789058.4</v>
      </c>
      <c r="N69" s="362">
        <v>789058.4</v>
      </c>
      <c r="O69" s="362">
        <v>789058.4</v>
      </c>
      <c r="P69" s="363" t="s">
        <v>1194</v>
      </c>
      <c r="Q69" s="356">
        <v>0</v>
      </c>
      <c r="R69" s="357">
        <v>0</v>
      </c>
      <c r="S69" s="358">
        <v>0</v>
      </c>
      <c r="T69" s="358">
        <v>0</v>
      </c>
      <c r="U69" s="358">
        <v>0</v>
      </c>
      <c r="V69" s="358">
        <v>0</v>
      </c>
      <c r="W69" s="359">
        <f t="shared" si="0"/>
        <v>789058.4</v>
      </c>
      <c r="X69" s="350" t="s">
        <v>599</v>
      </c>
      <c r="Y69" s="358"/>
      <c r="Z69" s="358"/>
      <c r="AA69" s="359"/>
      <c r="AB69" s="350"/>
    </row>
    <row r="70" spans="1:28" s="149" customFormat="1" ht="102">
      <c r="A70" s="349">
        <v>65</v>
      </c>
      <c r="B70" s="371" t="s">
        <v>1198</v>
      </c>
      <c r="C70" s="368" t="s">
        <v>1199</v>
      </c>
      <c r="D70" s="368" t="s">
        <v>1200</v>
      </c>
      <c r="E70" s="352" t="s">
        <v>1025</v>
      </c>
      <c r="F70" s="361">
        <v>24553.360000000001</v>
      </c>
      <c r="G70" s="361">
        <v>24553.360000000001</v>
      </c>
      <c r="H70" s="361">
        <v>24553.360000000001</v>
      </c>
      <c r="I70" s="361">
        <v>24553.360000000001</v>
      </c>
      <c r="J70" s="361">
        <v>24553.360000000001</v>
      </c>
      <c r="K70" s="361">
        <v>24553.360000000001</v>
      </c>
      <c r="L70" s="361">
        <v>24553.360000000001</v>
      </c>
      <c r="M70" s="361">
        <v>24553.360000000001</v>
      </c>
      <c r="N70" s="362">
        <v>24553.360000000001</v>
      </c>
      <c r="O70" s="362">
        <v>24553.360000000001</v>
      </c>
      <c r="P70" s="363" t="s">
        <v>1194</v>
      </c>
      <c r="Q70" s="356">
        <v>0</v>
      </c>
      <c r="R70" s="357">
        <v>0</v>
      </c>
      <c r="S70" s="358">
        <v>0</v>
      </c>
      <c r="T70" s="358">
        <v>0</v>
      </c>
      <c r="U70" s="358">
        <v>0</v>
      </c>
      <c r="V70" s="358">
        <v>0</v>
      </c>
      <c r="W70" s="359">
        <f t="shared" ref="W70:W133" si="2">O70-S70-T70</f>
        <v>24553.360000000001</v>
      </c>
      <c r="X70" s="350" t="s">
        <v>599</v>
      </c>
      <c r="Y70" s="358"/>
      <c r="Z70" s="358"/>
      <c r="AA70" s="359"/>
      <c r="AB70" s="350"/>
    </row>
    <row r="71" spans="1:28" s="149" customFormat="1" ht="102">
      <c r="A71" s="349">
        <v>66</v>
      </c>
      <c r="B71" s="371" t="s">
        <v>1201</v>
      </c>
      <c r="C71" s="368" t="s">
        <v>1202</v>
      </c>
      <c r="D71" s="368" t="s">
        <v>1203</v>
      </c>
      <c r="E71" s="352" t="s">
        <v>1025</v>
      </c>
      <c r="F71" s="361">
        <v>287119.03999999998</v>
      </c>
      <c r="G71" s="361">
        <v>287119.03999999998</v>
      </c>
      <c r="H71" s="361">
        <v>287119.03999999998</v>
      </c>
      <c r="I71" s="361">
        <v>287119.03999999998</v>
      </c>
      <c r="J71" s="361">
        <v>287119.03999999998</v>
      </c>
      <c r="K71" s="361">
        <v>287119.03999999998</v>
      </c>
      <c r="L71" s="361">
        <v>287119.03999999998</v>
      </c>
      <c r="M71" s="361">
        <v>287119.03999999998</v>
      </c>
      <c r="N71" s="362">
        <v>287119.03999999998</v>
      </c>
      <c r="O71" s="362">
        <v>287119.03999999998</v>
      </c>
      <c r="P71" s="363" t="s">
        <v>1194</v>
      </c>
      <c r="Q71" s="356">
        <v>0</v>
      </c>
      <c r="R71" s="357">
        <v>0</v>
      </c>
      <c r="S71" s="358">
        <v>0</v>
      </c>
      <c r="T71" s="358">
        <v>0</v>
      </c>
      <c r="U71" s="358">
        <v>0</v>
      </c>
      <c r="V71" s="358">
        <v>0</v>
      </c>
      <c r="W71" s="359">
        <f t="shared" si="2"/>
        <v>287119.03999999998</v>
      </c>
      <c r="X71" s="350" t="s">
        <v>599</v>
      </c>
      <c r="Y71" s="358"/>
      <c r="Z71" s="358"/>
      <c r="AA71" s="359"/>
      <c r="AB71" s="350"/>
    </row>
    <row r="72" spans="1:28" s="149" customFormat="1" ht="102">
      <c r="A72" s="349">
        <v>67</v>
      </c>
      <c r="B72" s="371" t="s">
        <v>1204</v>
      </c>
      <c r="C72" s="368" t="s">
        <v>1205</v>
      </c>
      <c r="D72" s="368" t="s">
        <v>1206</v>
      </c>
      <c r="E72" s="352" t="s">
        <v>1025</v>
      </c>
      <c r="F72" s="361">
        <v>67370.16</v>
      </c>
      <c r="G72" s="361">
        <v>67370.16</v>
      </c>
      <c r="H72" s="361">
        <v>67370.16</v>
      </c>
      <c r="I72" s="361">
        <v>67370.16</v>
      </c>
      <c r="J72" s="361">
        <v>67370.16</v>
      </c>
      <c r="K72" s="361">
        <v>67370.16</v>
      </c>
      <c r="L72" s="361">
        <v>67370.16</v>
      </c>
      <c r="M72" s="361">
        <v>67370.16</v>
      </c>
      <c r="N72" s="362">
        <v>67370.16</v>
      </c>
      <c r="O72" s="362">
        <v>67370.16</v>
      </c>
      <c r="P72" s="363" t="s">
        <v>1194</v>
      </c>
      <c r="Q72" s="356">
        <v>0</v>
      </c>
      <c r="R72" s="357">
        <v>0</v>
      </c>
      <c r="S72" s="358">
        <v>0</v>
      </c>
      <c r="T72" s="358">
        <v>0</v>
      </c>
      <c r="U72" s="358">
        <v>0</v>
      </c>
      <c r="V72" s="358">
        <v>0</v>
      </c>
      <c r="W72" s="359">
        <f t="shared" si="2"/>
        <v>67370.16</v>
      </c>
      <c r="X72" s="350" t="s">
        <v>599</v>
      </c>
      <c r="Y72" s="358"/>
      <c r="Z72" s="358"/>
      <c r="AA72" s="359"/>
      <c r="AB72" s="350"/>
    </row>
    <row r="73" spans="1:28" s="149" customFormat="1" ht="102">
      <c r="A73" s="349">
        <v>68</v>
      </c>
      <c r="B73" s="370" t="s">
        <v>1207</v>
      </c>
      <c r="C73" s="368" t="s">
        <v>1208</v>
      </c>
      <c r="D73" s="368" t="s">
        <v>1209</v>
      </c>
      <c r="E73" s="352" t="s">
        <v>1025</v>
      </c>
      <c r="F73" s="361">
        <v>62400</v>
      </c>
      <c r="G73" s="361">
        <v>62400</v>
      </c>
      <c r="H73" s="361">
        <v>62400</v>
      </c>
      <c r="I73" s="361">
        <v>62400</v>
      </c>
      <c r="J73" s="361">
        <v>62400</v>
      </c>
      <c r="K73" s="361">
        <v>62400</v>
      </c>
      <c r="L73" s="361">
        <v>62400</v>
      </c>
      <c r="M73" s="361">
        <v>62400</v>
      </c>
      <c r="N73" s="362">
        <v>62400</v>
      </c>
      <c r="O73" s="362">
        <v>62400</v>
      </c>
      <c r="P73" s="363">
        <v>43159</v>
      </c>
      <c r="Q73" s="356">
        <v>1</v>
      </c>
      <c r="R73" s="357">
        <v>0</v>
      </c>
      <c r="S73" s="358">
        <v>0</v>
      </c>
      <c r="T73" s="358">
        <v>0</v>
      </c>
      <c r="U73" s="358">
        <v>0</v>
      </c>
      <c r="V73" s="358">
        <v>0</v>
      </c>
      <c r="W73" s="359">
        <f t="shared" si="2"/>
        <v>62400</v>
      </c>
      <c r="X73" s="350" t="s">
        <v>599</v>
      </c>
      <c r="Y73" s="358"/>
      <c r="Z73" s="358"/>
      <c r="AA73" s="359"/>
      <c r="AB73" s="350"/>
    </row>
    <row r="74" spans="1:28" s="149" customFormat="1" ht="102">
      <c r="A74" s="349">
        <v>69</v>
      </c>
      <c r="B74" s="370" t="s">
        <v>1210</v>
      </c>
      <c r="C74" s="368" t="s">
        <v>1211</v>
      </c>
      <c r="D74" s="368" t="s">
        <v>1212</v>
      </c>
      <c r="E74" s="352" t="s">
        <v>1025</v>
      </c>
      <c r="F74" s="361">
        <v>10773.36</v>
      </c>
      <c r="G74" s="361">
        <v>10773.36</v>
      </c>
      <c r="H74" s="361">
        <v>10773.36</v>
      </c>
      <c r="I74" s="361">
        <v>10773.36</v>
      </c>
      <c r="J74" s="361">
        <v>10773.36</v>
      </c>
      <c r="K74" s="361">
        <v>10773.36</v>
      </c>
      <c r="L74" s="361">
        <v>10773.36</v>
      </c>
      <c r="M74" s="361">
        <v>10773.36</v>
      </c>
      <c r="N74" s="362">
        <v>10773.36</v>
      </c>
      <c r="O74" s="362">
        <v>10773.36</v>
      </c>
      <c r="P74" s="363">
        <v>42947</v>
      </c>
      <c r="Q74" s="356">
        <v>1</v>
      </c>
      <c r="R74" s="357">
        <v>1</v>
      </c>
      <c r="S74" s="358"/>
      <c r="T74" s="358">
        <f>2075+12095</f>
        <v>14170</v>
      </c>
      <c r="U74" s="358"/>
      <c r="V74" s="358"/>
      <c r="W74" s="359">
        <f t="shared" si="2"/>
        <v>-3396.6399999999994</v>
      </c>
      <c r="X74" s="350" t="s">
        <v>599</v>
      </c>
      <c r="Y74" s="358"/>
      <c r="Z74" s="358"/>
      <c r="AA74" s="359"/>
      <c r="AB74" s="350"/>
    </row>
    <row r="75" spans="1:28" s="149" customFormat="1" ht="102">
      <c r="A75" s="349">
        <v>70</v>
      </c>
      <c r="B75" s="370" t="s">
        <v>1213</v>
      </c>
      <c r="C75" s="368" t="s">
        <v>1214</v>
      </c>
      <c r="D75" s="360" t="s">
        <v>1215</v>
      </c>
      <c r="E75" s="352" t="s">
        <v>1025</v>
      </c>
      <c r="F75" s="361">
        <v>208000</v>
      </c>
      <c r="G75" s="361">
        <v>208000</v>
      </c>
      <c r="H75" s="361">
        <v>208000</v>
      </c>
      <c r="I75" s="361">
        <v>208000</v>
      </c>
      <c r="J75" s="361">
        <v>208000</v>
      </c>
      <c r="K75" s="361">
        <v>208000</v>
      </c>
      <c r="L75" s="361">
        <v>208000</v>
      </c>
      <c r="M75" s="361">
        <v>208000</v>
      </c>
      <c r="N75" s="362">
        <v>208000</v>
      </c>
      <c r="O75" s="362">
        <v>208000</v>
      </c>
      <c r="P75" s="363">
        <v>42927</v>
      </c>
      <c r="Q75" s="356">
        <v>1</v>
      </c>
      <c r="R75" s="357">
        <v>1</v>
      </c>
      <c r="S75" s="358">
        <v>0</v>
      </c>
      <c r="T75" s="358">
        <v>99302</v>
      </c>
      <c r="U75" s="358">
        <v>0</v>
      </c>
      <c r="V75" s="358"/>
      <c r="W75" s="359">
        <f t="shared" si="2"/>
        <v>108698</v>
      </c>
      <c r="X75" s="350" t="s">
        <v>599</v>
      </c>
      <c r="Y75" s="358"/>
      <c r="Z75" s="358"/>
      <c r="AA75" s="359"/>
      <c r="AB75" s="350"/>
    </row>
    <row r="76" spans="1:28" s="149" customFormat="1" ht="102">
      <c r="A76" s="349">
        <v>71</v>
      </c>
      <c r="B76" s="370" t="s">
        <v>1216</v>
      </c>
      <c r="C76" s="360" t="s">
        <v>1217</v>
      </c>
      <c r="D76" s="360" t="s">
        <v>1218</v>
      </c>
      <c r="E76" s="352" t="s">
        <v>1025</v>
      </c>
      <c r="F76" s="361">
        <v>442000</v>
      </c>
      <c r="G76" s="361">
        <v>442000</v>
      </c>
      <c r="H76" s="361">
        <v>442000</v>
      </c>
      <c r="I76" s="361">
        <v>442000</v>
      </c>
      <c r="J76" s="361">
        <v>442000</v>
      </c>
      <c r="K76" s="361">
        <v>442000</v>
      </c>
      <c r="L76" s="361">
        <v>442000</v>
      </c>
      <c r="M76" s="361">
        <v>442000</v>
      </c>
      <c r="N76" s="362">
        <v>442000</v>
      </c>
      <c r="O76" s="362">
        <v>442000</v>
      </c>
      <c r="P76" s="363" t="s">
        <v>1029</v>
      </c>
      <c r="Q76" s="356">
        <v>0</v>
      </c>
      <c r="R76" s="357">
        <v>0</v>
      </c>
      <c r="S76" s="365">
        <v>17600</v>
      </c>
      <c r="T76" s="358">
        <v>0</v>
      </c>
      <c r="U76" s="365"/>
      <c r="V76" s="358"/>
      <c r="W76" s="359">
        <f t="shared" si="2"/>
        <v>424400</v>
      </c>
      <c r="X76" s="350" t="s">
        <v>599</v>
      </c>
      <c r="Y76" s="365"/>
      <c r="Z76" s="358"/>
      <c r="AA76" s="359"/>
      <c r="AB76" s="350"/>
    </row>
    <row r="77" spans="1:28" s="149" customFormat="1" ht="102">
      <c r="A77" s="349">
        <v>72</v>
      </c>
      <c r="B77" s="370" t="s">
        <v>1219</v>
      </c>
      <c r="C77" s="368" t="s">
        <v>1220</v>
      </c>
      <c r="D77" s="360" t="s">
        <v>1215</v>
      </c>
      <c r="E77" s="352" t="s">
        <v>1025</v>
      </c>
      <c r="F77" s="361">
        <v>343698.16</v>
      </c>
      <c r="G77" s="361">
        <v>343698.16</v>
      </c>
      <c r="H77" s="361">
        <v>343698.16</v>
      </c>
      <c r="I77" s="361">
        <v>343698.16</v>
      </c>
      <c r="J77" s="361">
        <v>343698.16</v>
      </c>
      <c r="K77" s="361">
        <v>343698.16</v>
      </c>
      <c r="L77" s="361">
        <v>343698.16</v>
      </c>
      <c r="M77" s="361">
        <v>343698.16</v>
      </c>
      <c r="N77" s="362">
        <v>343698.16</v>
      </c>
      <c r="O77" s="362">
        <v>343698.16</v>
      </c>
      <c r="P77" s="363">
        <v>43190</v>
      </c>
      <c r="Q77" s="356">
        <v>0.2</v>
      </c>
      <c r="R77" s="357">
        <v>0</v>
      </c>
      <c r="S77" s="358">
        <v>0</v>
      </c>
      <c r="T77" s="358">
        <v>0</v>
      </c>
      <c r="U77" s="358">
        <v>0</v>
      </c>
      <c r="V77" s="358">
        <v>0</v>
      </c>
      <c r="W77" s="359">
        <f t="shared" si="2"/>
        <v>343698.16</v>
      </c>
      <c r="X77" s="350" t="s">
        <v>599</v>
      </c>
      <c r="Y77" s="358"/>
      <c r="Z77" s="358"/>
      <c r="AA77" s="359"/>
      <c r="AB77" s="350"/>
    </row>
    <row r="78" spans="1:28" s="149" customFormat="1" ht="114.75">
      <c r="A78" s="349">
        <v>73</v>
      </c>
      <c r="B78" s="370" t="s">
        <v>1221</v>
      </c>
      <c r="C78" s="368" t="s">
        <v>1222</v>
      </c>
      <c r="D78" s="360" t="s">
        <v>1223</v>
      </c>
      <c r="E78" s="352" t="s">
        <v>1025</v>
      </c>
      <c r="F78" s="361">
        <v>153180.56</v>
      </c>
      <c r="G78" s="361">
        <v>153180.56</v>
      </c>
      <c r="H78" s="361">
        <v>153180.56</v>
      </c>
      <c r="I78" s="361">
        <v>153180.56</v>
      </c>
      <c r="J78" s="361">
        <v>153180.56</v>
      </c>
      <c r="K78" s="361">
        <v>153180.56</v>
      </c>
      <c r="L78" s="361">
        <v>153180.56</v>
      </c>
      <c r="M78" s="361">
        <v>153180.56</v>
      </c>
      <c r="N78" s="362">
        <v>153180.56</v>
      </c>
      <c r="O78" s="362">
        <v>153180.56</v>
      </c>
      <c r="P78" s="355" t="s">
        <v>1224</v>
      </c>
      <c r="Q78" s="356">
        <v>0</v>
      </c>
      <c r="R78" s="357">
        <v>0</v>
      </c>
      <c r="S78" s="358">
        <v>0</v>
      </c>
      <c r="T78" s="358">
        <v>0</v>
      </c>
      <c r="U78" s="358">
        <v>0</v>
      </c>
      <c r="V78" s="358">
        <v>0</v>
      </c>
      <c r="W78" s="359">
        <f t="shared" si="2"/>
        <v>153180.56</v>
      </c>
      <c r="X78" s="350" t="s">
        <v>599</v>
      </c>
      <c r="Y78" s="358"/>
      <c r="Z78" s="358"/>
      <c r="AA78" s="359"/>
      <c r="AB78" s="350"/>
    </row>
    <row r="79" spans="1:28" s="149" customFormat="1" ht="114.75">
      <c r="A79" s="349">
        <v>74</v>
      </c>
      <c r="B79" s="370" t="s">
        <v>1225</v>
      </c>
      <c r="C79" s="368" t="s">
        <v>1226</v>
      </c>
      <c r="D79" s="368" t="s">
        <v>1227</v>
      </c>
      <c r="E79" s="352" t="s">
        <v>1025</v>
      </c>
      <c r="F79" s="361">
        <v>40278.160000000003</v>
      </c>
      <c r="G79" s="361">
        <v>40278.160000000003</v>
      </c>
      <c r="H79" s="361">
        <v>40278.160000000003</v>
      </c>
      <c r="I79" s="361">
        <v>40278.160000000003</v>
      </c>
      <c r="J79" s="361">
        <v>40278.160000000003</v>
      </c>
      <c r="K79" s="361">
        <v>40278.160000000003</v>
      </c>
      <c r="L79" s="361">
        <v>40278.160000000003</v>
      </c>
      <c r="M79" s="361">
        <v>40278.160000000003</v>
      </c>
      <c r="N79" s="362">
        <v>40278.160000000003</v>
      </c>
      <c r="O79" s="362">
        <v>40278.160000000003</v>
      </c>
      <c r="P79" s="355" t="s">
        <v>1224</v>
      </c>
      <c r="Q79" s="356">
        <v>0</v>
      </c>
      <c r="R79" s="357">
        <v>0</v>
      </c>
      <c r="S79" s="358">
        <v>0</v>
      </c>
      <c r="T79" s="358">
        <v>0</v>
      </c>
      <c r="U79" s="358">
        <v>0</v>
      </c>
      <c r="V79" s="358">
        <v>0</v>
      </c>
      <c r="W79" s="359">
        <f t="shared" si="2"/>
        <v>40278.160000000003</v>
      </c>
      <c r="X79" s="350" t="s">
        <v>599</v>
      </c>
      <c r="Y79" s="358"/>
      <c r="Z79" s="358"/>
      <c r="AA79" s="359"/>
      <c r="AB79" s="350"/>
    </row>
    <row r="80" spans="1:28" s="149" customFormat="1" ht="114.75">
      <c r="A80" s="349">
        <v>75</v>
      </c>
      <c r="B80" s="370" t="s">
        <v>1228</v>
      </c>
      <c r="C80" s="368" t="s">
        <v>1229</v>
      </c>
      <c r="D80" s="360" t="s">
        <v>1230</v>
      </c>
      <c r="E80" s="352" t="s">
        <v>1025</v>
      </c>
      <c r="F80" s="361">
        <v>575051.36</v>
      </c>
      <c r="G80" s="361">
        <v>575051.36</v>
      </c>
      <c r="H80" s="361">
        <v>575051.36</v>
      </c>
      <c r="I80" s="361">
        <v>575051.36</v>
      </c>
      <c r="J80" s="361">
        <v>575051.36</v>
      </c>
      <c r="K80" s="361">
        <v>575051.36</v>
      </c>
      <c r="L80" s="361">
        <v>575051.36</v>
      </c>
      <c r="M80" s="361">
        <v>575051.36</v>
      </c>
      <c r="N80" s="362">
        <v>575051.36</v>
      </c>
      <c r="O80" s="362">
        <v>575051.36</v>
      </c>
      <c r="P80" s="355" t="s">
        <v>1224</v>
      </c>
      <c r="Q80" s="356">
        <v>0</v>
      </c>
      <c r="R80" s="357">
        <v>0</v>
      </c>
      <c r="S80" s="358">
        <v>0</v>
      </c>
      <c r="T80" s="358">
        <v>0</v>
      </c>
      <c r="U80" s="358">
        <v>0</v>
      </c>
      <c r="V80" s="358">
        <v>0</v>
      </c>
      <c r="W80" s="359">
        <f t="shared" si="2"/>
        <v>575051.36</v>
      </c>
      <c r="X80" s="350" t="s">
        <v>599</v>
      </c>
      <c r="Y80" s="358"/>
      <c r="Z80" s="358"/>
      <c r="AA80" s="359"/>
      <c r="AB80" s="350"/>
    </row>
    <row r="81" spans="1:28" s="149" customFormat="1" ht="114.75">
      <c r="A81" s="349">
        <v>76</v>
      </c>
      <c r="B81" s="370" t="s">
        <v>1231</v>
      </c>
      <c r="C81" s="368" t="s">
        <v>1232</v>
      </c>
      <c r="D81" s="368" t="s">
        <v>1233</v>
      </c>
      <c r="E81" s="352" t="s">
        <v>1025</v>
      </c>
      <c r="F81" s="361">
        <v>17077.84</v>
      </c>
      <c r="G81" s="361">
        <v>17077.84</v>
      </c>
      <c r="H81" s="361">
        <v>17077.84</v>
      </c>
      <c r="I81" s="361">
        <v>17077.84</v>
      </c>
      <c r="J81" s="361">
        <v>17077.84</v>
      </c>
      <c r="K81" s="361">
        <v>17077.84</v>
      </c>
      <c r="L81" s="361">
        <v>17077.84</v>
      </c>
      <c r="M81" s="361">
        <v>17077.84</v>
      </c>
      <c r="N81" s="362">
        <v>17077.84</v>
      </c>
      <c r="O81" s="362">
        <v>17077.84</v>
      </c>
      <c r="P81" s="355" t="s">
        <v>1224</v>
      </c>
      <c r="Q81" s="356">
        <v>0</v>
      </c>
      <c r="R81" s="357">
        <v>0</v>
      </c>
      <c r="S81" s="358">
        <v>0</v>
      </c>
      <c r="T81" s="358">
        <v>0</v>
      </c>
      <c r="U81" s="358">
        <v>0</v>
      </c>
      <c r="V81" s="358">
        <v>0</v>
      </c>
      <c r="W81" s="359">
        <f t="shared" si="2"/>
        <v>17077.84</v>
      </c>
      <c r="X81" s="350" t="s">
        <v>599</v>
      </c>
      <c r="Y81" s="358"/>
      <c r="Z81" s="358"/>
      <c r="AA81" s="359"/>
      <c r="AB81" s="350"/>
    </row>
    <row r="82" spans="1:28" s="149" customFormat="1" ht="102">
      <c r="A82" s="349">
        <v>77</v>
      </c>
      <c r="B82" s="370" t="s">
        <v>1234</v>
      </c>
      <c r="C82" s="368" t="s">
        <v>1235</v>
      </c>
      <c r="D82" s="360" t="s">
        <v>1236</v>
      </c>
      <c r="E82" s="352" t="s">
        <v>1025</v>
      </c>
      <c r="F82" s="361">
        <v>260000</v>
      </c>
      <c r="G82" s="361">
        <v>260000</v>
      </c>
      <c r="H82" s="361">
        <v>260000</v>
      </c>
      <c r="I82" s="361">
        <v>260000</v>
      </c>
      <c r="J82" s="361">
        <v>260000</v>
      </c>
      <c r="K82" s="361">
        <v>260000</v>
      </c>
      <c r="L82" s="361">
        <v>260000</v>
      </c>
      <c r="M82" s="361">
        <v>260000</v>
      </c>
      <c r="N82" s="362">
        <v>260000</v>
      </c>
      <c r="O82" s="362">
        <v>260000</v>
      </c>
      <c r="P82" s="363">
        <v>42989</v>
      </c>
      <c r="Q82" s="356">
        <v>1</v>
      </c>
      <c r="R82" s="357">
        <v>1</v>
      </c>
      <c r="S82" s="358"/>
      <c r="T82" s="358">
        <v>87000</v>
      </c>
      <c r="U82" s="358"/>
      <c r="V82" s="358"/>
      <c r="W82" s="359">
        <f t="shared" si="2"/>
        <v>173000</v>
      </c>
      <c r="X82" s="350" t="s">
        <v>599</v>
      </c>
      <c r="Y82" s="358"/>
      <c r="Z82" s="358"/>
      <c r="AA82" s="359"/>
      <c r="AB82" s="350"/>
    </row>
    <row r="83" spans="1:28" s="149" customFormat="1" ht="102">
      <c r="A83" s="349">
        <v>78</v>
      </c>
      <c r="B83" s="370" t="s">
        <v>1237</v>
      </c>
      <c r="C83" s="368" t="s">
        <v>1238</v>
      </c>
      <c r="D83" s="368" t="s">
        <v>1239</v>
      </c>
      <c r="E83" s="352" t="s">
        <v>1025</v>
      </c>
      <c r="F83" s="361">
        <v>57117.84</v>
      </c>
      <c r="G83" s="361">
        <v>57117.84</v>
      </c>
      <c r="H83" s="361">
        <v>57117.84</v>
      </c>
      <c r="I83" s="361">
        <v>57117.84</v>
      </c>
      <c r="J83" s="361">
        <v>57117.84</v>
      </c>
      <c r="K83" s="361">
        <v>57117.84</v>
      </c>
      <c r="L83" s="361">
        <v>57117.84</v>
      </c>
      <c r="M83" s="361">
        <v>57117.84</v>
      </c>
      <c r="N83" s="362">
        <v>57117.84</v>
      </c>
      <c r="O83" s="362">
        <v>57117.84</v>
      </c>
      <c r="P83" s="363">
        <v>42933</v>
      </c>
      <c r="Q83" s="356">
        <v>1</v>
      </c>
      <c r="R83" s="357">
        <v>1</v>
      </c>
      <c r="S83" s="358"/>
      <c r="T83" s="358">
        <v>15080</v>
      </c>
      <c r="U83" s="358"/>
      <c r="V83" s="358"/>
      <c r="W83" s="359">
        <f t="shared" si="2"/>
        <v>42037.84</v>
      </c>
      <c r="X83" s="350" t="s">
        <v>599</v>
      </c>
      <c r="Y83" s="358"/>
      <c r="Z83" s="358"/>
      <c r="AA83" s="359"/>
      <c r="AB83" s="350"/>
    </row>
    <row r="84" spans="1:28" s="149" customFormat="1" ht="102">
      <c r="A84" s="349">
        <v>79</v>
      </c>
      <c r="B84" s="370" t="s">
        <v>1240</v>
      </c>
      <c r="C84" s="368" t="s">
        <v>1241</v>
      </c>
      <c r="D84" s="360" t="s">
        <v>1242</v>
      </c>
      <c r="E84" s="352" t="s">
        <v>1025</v>
      </c>
      <c r="F84" s="361">
        <v>22046.959999999999</v>
      </c>
      <c r="G84" s="361">
        <v>22046.959999999999</v>
      </c>
      <c r="H84" s="361">
        <v>22046.959999999999</v>
      </c>
      <c r="I84" s="361">
        <v>22046.959999999999</v>
      </c>
      <c r="J84" s="361">
        <v>22046.959999999999</v>
      </c>
      <c r="K84" s="361">
        <v>22046.959999999999</v>
      </c>
      <c r="L84" s="361">
        <v>22046.959999999999</v>
      </c>
      <c r="M84" s="361">
        <v>22046.959999999999</v>
      </c>
      <c r="N84" s="362">
        <v>22046.959999999999</v>
      </c>
      <c r="O84" s="362">
        <v>22046.959999999999</v>
      </c>
      <c r="P84" s="363">
        <v>43220</v>
      </c>
      <c r="Q84" s="356">
        <v>1</v>
      </c>
      <c r="R84" s="357">
        <v>0</v>
      </c>
      <c r="S84" s="358">
        <v>0</v>
      </c>
      <c r="T84" s="358">
        <v>0</v>
      </c>
      <c r="U84" s="358">
        <v>0</v>
      </c>
      <c r="V84" s="358">
        <v>0</v>
      </c>
      <c r="W84" s="359">
        <f t="shared" si="2"/>
        <v>22046.959999999999</v>
      </c>
      <c r="X84" s="350" t="s">
        <v>599</v>
      </c>
      <c r="Y84" s="358"/>
      <c r="Z84" s="358"/>
      <c r="AA84" s="359"/>
      <c r="AB84" s="350"/>
    </row>
    <row r="85" spans="1:28" s="149" customFormat="1" ht="102">
      <c r="A85" s="349">
        <v>80</v>
      </c>
      <c r="B85" s="370" t="s">
        <v>1243</v>
      </c>
      <c r="C85" s="368" t="s">
        <v>1244</v>
      </c>
      <c r="D85" s="368" t="s">
        <v>1245</v>
      </c>
      <c r="E85" s="352" t="s">
        <v>1025</v>
      </c>
      <c r="F85" s="361">
        <v>12728.56</v>
      </c>
      <c r="G85" s="361">
        <v>12728.56</v>
      </c>
      <c r="H85" s="361">
        <v>12728.56</v>
      </c>
      <c r="I85" s="361">
        <v>12728.56</v>
      </c>
      <c r="J85" s="361">
        <v>12728.56</v>
      </c>
      <c r="K85" s="361">
        <v>12728.56</v>
      </c>
      <c r="L85" s="361">
        <v>12728.56</v>
      </c>
      <c r="M85" s="361">
        <v>12728.56</v>
      </c>
      <c r="N85" s="362">
        <v>12728.56</v>
      </c>
      <c r="O85" s="362">
        <v>12728.56</v>
      </c>
      <c r="P85" s="363">
        <v>43159</v>
      </c>
      <c r="Q85" s="356">
        <v>1</v>
      </c>
      <c r="R85" s="357">
        <v>0</v>
      </c>
      <c r="S85" s="358">
        <v>0</v>
      </c>
      <c r="T85" s="358">
        <v>0</v>
      </c>
      <c r="U85" s="358">
        <v>0</v>
      </c>
      <c r="V85" s="358">
        <v>0</v>
      </c>
      <c r="W85" s="359">
        <f t="shared" si="2"/>
        <v>12728.56</v>
      </c>
      <c r="X85" s="350" t="s">
        <v>599</v>
      </c>
      <c r="Y85" s="358"/>
      <c r="Z85" s="358"/>
      <c r="AA85" s="359"/>
      <c r="AB85" s="350"/>
    </row>
    <row r="86" spans="1:28" s="149" customFormat="1" ht="102">
      <c r="A86" s="349">
        <v>81</v>
      </c>
      <c r="B86" s="371" t="s">
        <v>1246</v>
      </c>
      <c r="C86" s="368" t="s">
        <v>1247</v>
      </c>
      <c r="D86" s="360" t="s">
        <v>1215</v>
      </c>
      <c r="E86" s="352" t="s">
        <v>1025</v>
      </c>
      <c r="F86" s="361">
        <v>220581.92</v>
      </c>
      <c r="G86" s="361">
        <v>220581.92</v>
      </c>
      <c r="H86" s="361">
        <v>220581.92</v>
      </c>
      <c r="I86" s="361">
        <v>220581.92</v>
      </c>
      <c r="J86" s="361">
        <v>220581.92</v>
      </c>
      <c r="K86" s="361">
        <v>220581.92</v>
      </c>
      <c r="L86" s="361">
        <v>220581.92</v>
      </c>
      <c r="M86" s="361">
        <v>220581.92</v>
      </c>
      <c r="N86" s="362">
        <v>220581.92</v>
      </c>
      <c r="O86" s="362">
        <v>220581.92</v>
      </c>
      <c r="P86" s="363">
        <v>43190</v>
      </c>
      <c r="Q86" s="356">
        <v>0.2</v>
      </c>
      <c r="R86" s="357">
        <v>0</v>
      </c>
      <c r="S86" s="358">
        <v>0</v>
      </c>
      <c r="T86" s="358">
        <v>0</v>
      </c>
      <c r="U86" s="358">
        <v>0</v>
      </c>
      <c r="V86" s="358">
        <v>0</v>
      </c>
      <c r="W86" s="359">
        <f t="shared" si="2"/>
        <v>220581.92</v>
      </c>
      <c r="X86" s="350" t="s">
        <v>599</v>
      </c>
      <c r="Y86" s="358"/>
      <c r="Z86" s="358"/>
      <c r="AA86" s="359"/>
      <c r="AB86" s="350"/>
    </row>
    <row r="87" spans="1:28" s="149" customFormat="1" ht="102">
      <c r="A87" s="349">
        <v>82</v>
      </c>
      <c r="B87" s="371" t="s">
        <v>1248</v>
      </c>
      <c r="C87" s="360" t="s">
        <v>1249</v>
      </c>
      <c r="D87" s="360" t="s">
        <v>1250</v>
      </c>
      <c r="E87" s="352" t="s">
        <v>1025</v>
      </c>
      <c r="F87" s="361">
        <v>389896.32</v>
      </c>
      <c r="G87" s="361">
        <v>389896.32</v>
      </c>
      <c r="H87" s="361">
        <v>389896.32</v>
      </c>
      <c r="I87" s="361">
        <v>389896.32</v>
      </c>
      <c r="J87" s="361">
        <v>389896.32</v>
      </c>
      <c r="K87" s="361">
        <v>389896.32</v>
      </c>
      <c r="L87" s="361">
        <v>389896.32</v>
      </c>
      <c r="M87" s="361">
        <v>389896.32</v>
      </c>
      <c r="N87" s="362">
        <v>389896.32</v>
      </c>
      <c r="O87" s="362">
        <v>389896.32</v>
      </c>
      <c r="P87" s="363">
        <v>43190</v>
      </c>
      <c r="Q87" s="356">
        <v>0.9</v>
      </c>
      <c r="R87" s="357">
        <v>0</v>
      </c>
      <c r="S87" s="358">
        <v>0</v>
      </c>
      <c r="T87" s="358">
        <v>0</v>
      </c>
      <c r="U87" s="358">
        <v>0</v>
      </c>
      <c r="V87" s="358">
        <v>0</v>
      </c>
      <c r="W87" s="359">
        <f t="shared" si="2"/>
        <v>389896.32</v>
      </c>
      <c r="X87" s="350" t="s">
        <v>599</v>
      </c>
      <c r="Y87" s="358"/>
      <c r="Z87" s="358"/>
      <c r="AA87" s="359"/>
      <c r="AB87" s="350"/>
    </row>
    <row r="88" spans="1:28" s="149" customFormat="1" ht="102">
      <c r="A88" s="349">
        <v>83</v>
      </c>
      <c r="B88" s="371" t="s">
        <v>1251</v>
      </c>
      <c r="C88" s="360" t="s">
        <v>1252</v>
      </c>
      <c r="D88" s="360" t="s">
        <v>1215</v>
      </c>
      <c r="E88" s="352" t="s">
        <v>1025</v>
      </c>
      <c r="F88" s="361">
        <v>373251.84000000003</v>
      </c>
      <c r="G88" s="361">
        <v>373251.84000000003</v>
      </c>
      <c r="H88" s="361">
        <v>373251.84000000003</v>
      </c>
      <c r="I88" s="361">
        <v>373251.84000000003</v>
      </c>
      <c r="J88" s="361">
        <v>373251.84000000003</v>
      </c>
      <c r="K88" s="361">
        <v>373251.84000000003</v>
      </c>
      <c r="L88" s="361">
        <v>373251.84000000003</v>
      </c>
      <c r="M88" s="361">
        <v>373251.84000000003</v>
      </c>
      <c r="N88" s="362">
        <v>373251.84000000003</v>
      </c>
      <c r="O88" s="362">
        <v>373251.84000000003</v>
      </c>
      <c r="P88" s="363">
        <v>43190</v>
      </c>
      <c r="Q88" s="356">
        <v>1</v>
      </c>
      <c r="R88" s="357">
        <v>0</v>
      </c>
      <c r="S88" s="358">
        <v>0</v>
      </c>
      <c r="T88" s="358">
        <v>0</v>
      </c>
      <c r="U88" s="358">
        <v>0</v>
      </c>
      <c r="V88" s="358">
        <v>0</v>
      </c>
      <c r="W88" s="359">
        <f t="shared" si="2"/>
        <v>373251.84000000003</v>
      </c>
      <c r="X88" s="350" t="s">
        <v>599</v>
      </c>
      <c r="Y88" s="358"/>
      <c r="Z88" s="358"/>
      <c r="AA88" s="359"/>
      <c r="AB88" s="350"/>
    </row>
    <row r="89" spans="1:28" s="149" customFormat="1" ht="102">
      <c r="A89" s="349">
        <v>84</v>
      </c>
      <c r="B89" s="370" t="s">
        <v>1253</v>
      </c>
      <c r="C89" s="368" t="s">
        <v>1254</v>
      </c>
      <c r="D89" s="360" t="s">
        <v>1230</v>
      </c>
      <c r="E89" s="352" t="s">
        <v>1025</v>
      </c>
      <c r="F89" s="361">
        <v>567938.80000000005</v>
      </c>
      <c r="G89" s="361">
        <v>567938.80000000005</v>
      </c>
      <c r="H89" s="361">
        <v>567938.80000000005</v>
      </c>
      <c r="I89" s="361">
        <v>567938.80000000005</v>
      </c>
      <c r="J89" s="361">
        <v>567938.80000000005</v>
      </c>
      <c r="K89" s="361">
        <v>567938.80000000005</v>
      </c>
      <c r="L89" s="361">
        <v>567938.80000000005</v>
      </c>
      <c r="M89" s="361">
        <v>567938.80000000005</v>
      </c>
      <c r="N89" s="362">
        <v>567938.80000000005</v>
      </c>
      <c r="O89" s="362">
        <v>567938.80000000005</v>
      </c>
      <c r="P89" s="363" t="s">
        <v>1194</v>
      </c>
      <c r="Q89" s="356">
        <v>0.05</v>
      </c>
      <c r="R89" s="357">
        <v>0</v>
      </c>
      <c r="S89" s="358">
        <v>0</v>
      </c>
      <c r="T89" s="358">
        <v>0</v>
      </c>
      <c r="U89" s="358">
        <v>0</v>
      </c>
      <c r="V89" s="358">
        <v>0</v>
      </c>
      <c r="W89" s="359">
        <f t="shared" si="2"/>
        <v>567938.80000000005</v>
      </c>
      <c r="X89" s="350" t="s">
        <v>599</v>
      </c>
      <c r="Y89" s="358"/>
      <c r="Z89" s="358"/>
      <c r="AA89" s="359"/>
      <c r="AB89" s="350"/>
    </row>
    <row r="90" spans="1:28" s="149" customFormat="1" ht="114.75">
      <c r="A90" s="349">
        <v>85</v>
      </c>
      <c r="B90" s="370" t="s">
        <v>1255</v>
      </c>
      <c r="C90" s="368" t="s">
        <v>1256</v>
      </c>
      <c r="D90" s="368" t="s">
        <v>1257</v>
      </c>
      <c r="E90" s="352" t="s">
        <v>1025</v>
      </c>
      <c r="F90" s="361">
        <v>137846.79999999999</v>
      </c>
      <c r="G90" s="361">
        <v>137846.79999999999</v>
      </c>
      <c r="H90" s="361">
        <v>137846.79999999999</v>
      </c>
      <c r="I90" s="361">
        <v>137846.79999999999</v>
      </c>
      <c r="J90" s="361">
        <v>137846.79999999999</v>
      </c>
      <c r="K90" s="361">
        <v>137846.79999999999</v>
      </c>
      <c r="L90" s="361">
        <v>137846.79999999999</v>
      </c>
      <c r="M90" s="361">
        <v>137846.79999999999</v>
      </c>
      <c r="N90" s="362">
        <v>137846.79999999999</v>
      </c>
      <c r="O90" s="362">
        <v>137846.79999999999</v>
      </c>
      <c r="P90" s="355" t="s">
        <v>1224</v>
      </c>
      <c r="Q90" s="356">
        <v>0.2</v>
      </c>
      <c r="R90" s="357">
        <v>0</v>
      </c>
      <c r="S90" s="358">
        <v>0</v>
      </c>
      <c r="T90" s="358">
        <v>0</v>
      </c>
      <c r="U90" s="358">
        <v>0</v>
      </c>
      <c r="V90" s="358">
        <v>0</v>
      </c>
      <c r="W90" s="359">
        <f t="shared" si="2"/>
        <v>137846.79999999999</v>
      </c>
      <c r="X90" s="350" t="s">
        <v>599</v>
      </c>
      <c r="Y90" s="358"/>
      <c r="Z90" s="358"/>
      <c r="AA90" s="359"/>
      <c r="AB90" s="350"/>
    </row>
    <row r="91" spans="1:28" s="149" customFormat="1" ht="102">
      <c r="A91" s="349">
        <v>86</v>
      </c>
      <c r="B91" s="370" t="s">
        <v>1258</v>
      </c>
      <c r="C91" s="360" t="s">
        <v>1259</v>
      </c>
      <c r="D91" s="360" t="s">
        <v>1230</v>
      </c>
      <c r="E91" s="352" t="s">
        <v>1025</v>
      </c>
      <c r="F91" s="361">
        <v>186283.86</v>
      </c>
      <c r="G91" s="361">
        <v>186283.86</v>
      </c>
      <c r="H91" s="361">
        <v>186283.86</v>
      </c>
      <c r="I91" s="361">
        <v>186283.86</v>
      </c>
      <c r="J91" s="361">
        <v>186283.86</v>
      </c>
      <c r="K91" s="361">
        <v>186283.86</v>
      </c>
      <c r="L91" s="361">
        <v>186283.86</v>
      </c>
      <c r="M91" s="361">
        <v>186283.86</v>
      </c>
      <c r="N91" s="362">
        <v>186283.86</v>
      </c>
      <c r="O91" s="362">
        <v>186283.86</v>
      </c>
      <c r="P91" s="363" t="s">
        <v>1194</v>
      </c>
      <c r="Q91" s="356">
        <v>0.1</v>
      </c>
      <c r="R91" s="357">
        <v>0</v>
      </c>
      <c r="S91" s="358">
        <v>0</v>
      </c>
      <c r="T91" s="358">
        <v>0</v>
      </c>
      <c r="U91" s="358">
        <v>0</v>
      </c>
      <c r="V91" s="358">
        <v>0</v>
      </c>
      <c r="W91" s="359">
        <f t="shared" si="2"/>
        <v>186283.86</v>
      </c>
      <c r="X91" s="350" t="s">
        <v>599</v>
      </c>
      <c r="Y91" s="358"/>
      <c r="Z91" s="358"/>
      <c r="AA91" s="359"/>
      <c r="AB91" s="350"/>
    </row>
    <row r="92" spans="1:28" s="149" customFormat="1" ht="102">
      <c r="A92" s="349">
        <v>87</v>
      </c>
      <c r="B92" s="370" t="s">
        <v>1260</v>
      </c>
      <c r="C92" s="360" t="s">
        <v>1261</v>
      </c>
      <c r="D92" s="360" t="s">
        <v>1262</v>
      </c>
      <c r="E92" s="352" t="s">
        <v>1025</v>
      </c>
      <c r="F92" s="361">
        <v>150000</v>
      </c>
      <c r="G92" s="361">
        <v>150000</v>
      </c>
      <c r="H92" s="361">
        <v>150000</v>
      </c>
      <c r="I92" s="361">
        <v>150000</v>
      </c>
      <c r="J92" s="361">
        <v>150000</v>
      </c>
      <c r="K92" s="361">
        <v>150000</v>
      </c>
      <c r="L92" s="361">
        <v>150000</v>
      </c>
      <c r="M92" s="361">
        <v>150000</v>
      </c>
      <c r="N92" s="362">
        <v>150000</v>
      </c>
      <c r="O92" s="362">
        <v>150000</v>
      </c>
      <c r="P92" s="363" t="s">
        <v>1194</v>
      </c>
      <c r="Q92" s="356">
        <v>0.1</v>
      </c>
      <c r="R92" s="357">
        <v>0</v>
      </c>
      <c r="S92" s="358">
        <v>0</v>
      </c>
      <c r="T92" s="358">
        <v>0</v>
      </c>
      <c r="U92" s="358">
        <v>0</v>
      </c>
      <c r="V92" s="358">
        <v>0</v>
      </c>
      <c r="W92" s="359">
        <f t="shared" si="2"/>
        <v>150000</v>
      </c>
      <c r="X92" s="350" t="s">
        <v>599</v>
      </c>
      <c r="Y92" s="358"/>
      <c r="Z92" s="358"/>
      <c r="AA92" s="359"/>
      <c r="AB92" s="350"/>
    </row>
    <row r="93" spans="1:28" s="149" customFormat="1" ht="102">
      <c r="A93" s="349">
        <v>88</v>
      </c>
      <c r="B93" s="370" t="s">
        <v>1263</v>
      </c>
      <c r="C93" s="360" t="s">
        <v>1264</v>
      </c>
      <c r="D93" s="360" t="s">
        <v>1265</v>
      </c>
      <c r="E93" s="352" t="s">
        <v>1025</v>
      </c>
      <c r="F93" s="361">
        <v>125000</v>
      </c>
      <c r="G93" s="361">
        <v>125000</v>
      </c>
      <c r="H93" s="361">
        <v>125000</v>
      </c>
      <c r="I93" s="361">
        <v>125000</v>
      </c>
      <c r="J93" s="361">
        <v>125000</v>
      </c>
      <c r="K93" s="361">
        <v>125000</v>
      </c>
      <c r="L93" s="361">
        <v>125000</v>
      </c>
      <c r="M93" s="361">
        <v>125000</v>
      </c>
      <c r="N93" s="362">
        <v>125000</v>
      </c>
      <c r="O93" s="362">
        <v>125000</v>
      </c>
      <c r="P93" s="363">
        <v>42825</v>
      </c>
      <c r="Q93" s="356">
        <v>0.2</v>
      </c>
      <c r="R93" s="357">
        <v>0</v>
      </c>
      <c r="S93" s="358">
        <v>0</v>
      </c>
      <c r="T93" s="358">
        <v>0</v>
      </c>
      <c r="U93" s="358">
        <v>0</v>
      </c>
      <c r="V93" s="358">
        <v>0</v>
      </c>
      <c r="W93" s="359">
        <f t="shared" si="2"/>
        <v>125000</v>
      </c>
      <c r="X93" s="350" t="s">
        <v>599</v>
      </c>
      <c r="Y93" s="358"/>
      <c r="Z93" s="358"/>
      <c r="AA93" s="359"/>
      <c r="AB93" s="350"/>
    </row>
    <row r="94" spans="1:28" s="149" customFormat="1" ht="102">
      <c r="A94" s="349">
        <v>89</v>
      </c>
      <c r="B94" s="370" t="s">
        <v>1266</v>
      </c>
      <c r="C94" s="360" t="s">
        <v>1267</v>
      </c>
      <c r="D94" s="360" t="s">
        <v>1223</v>
      </c>
      <c r="E94" s="352" t="s">
        <v>1025</v>
      </c>
      <c r="F94" s="361">
        <v>49622.559999999998</v>
      </c>
      <c r="G94" s="361">
        <v>49622.559999999998</v>
      </c>
      <c r="H94" s="361">
        <v>49622.559999999998</v>
      </c>
      <c r="I94" s="361">
        <v>49622.559999999998</v>
      </c>
      <c r="J94" s="361">
        <v>49622.559999999998</v>
      </c>
      <c r="K94" s="361">
        <v>49622.559999999998</v>
      </c>
      <c r="L94" s="361">
        <v>49622.559999999998</v>
      </c>
      <c r="M94" s="361">
        <v>49622.559999999998</v>
      </c>
      <c r="N94" s="362">
        <v>49622.559999999998</v>
      </c>
      <c r="O94" s="362">
        <v>49622.559999999998</v>
      </c>
      <c r="P94" s="363" t="s">
        <v>1194</v>
      </c>
      <c r="Q94" s="356">
        <v>0.1</v>
      </c>
      <c r="R94" s="357">
        <v>0</v>
      </c>
      <c r="S94" s="358">
        <v>0</v>
      </c>
      <c r="T94" s="358">
        <v>0</v>
      </c>
      <c r="U94" s="358">
        <v>0</v>
      </c>
      <c r="V94" s="358">
        <v>0</v>
      </c>
      <c r="W94" s="359">
        <f t="shared" si="2"/>
        <v>49622.559999999998</v>
      </c>
      <c r="X94" s="350" t="s">
        <v>599</v>
      </c>
      <c r="Y94" s="358"/>
      <c r="Z94" s="358"/>
      <c r="AA94" s="359"/>
      <c r="AB94" s="350"/>
    </row>
    <row r="95" spans="1:28" s="149" customFormat="1" ht="102">
      <c r="A95" s="349">
        <v>90</v>
      </c>
      <c r="B95" s="370" t="s">
        <v>1268</v>
      </c>
      <c r="C95" s="360" t="s">
        <v>1269</v>
      </c>
      <c r="D95" s="360" t="s">
        <v>1270</v>
      </c>
      <c r="E95" s="352" t="s">
        <v>1025</v>
      </c>
      <c r="F95" s="361">
        <v>9984</v>
      </c>
      <c r="G95" s="361">
        <v>9984</v>
      </c>
      <c r="H95" s="361">
        <v>9984</v>
      </c>
      <c r="I95" s="361">
        <v>9984</v>
      </c>
      <c r="J95" s="361">
        <v>9984</v>
      </c>
      <c r="K95" s="361">
        <v>9984</v>
      </c>
      <c r="L95" s="361">
        <v>9984</v>
      </c>
      <c r="M95" s="361">
        <v>9984</v>
      </c>
      <c r="N95" s="362">
        <v>9984</v>
      </c>
      <c r="O95" s="362">
        <v>9984</v>
      </c>
      <c r="P95" s="363" t="s">
        <v>1194</v>
      </c>
      <c r="Q95" s="356">
        <v>0.1</v>
      </c>
      <c r="R95" s="357">
        <v>0</v>
      </c>
      <c r="S95" s="358">
        <v>0</v>
      </c>
      <c r="T95" s="358">
        <v>0</v>
      </c>
      <c r="U95" s="358">
        <v>0</v>
      </c>
      <c r="V95" s="358">
        <v>0</v>
      </c>
      <c r="W95" s="359">
        <f t="shared" si="2"/>
        <v>9984</v>
      </c>
      <c r="X95" s="350" t="s">
        <v>599</v>
      </c>
      <c r="Y95" s="358"/>
      <c r="Z95" s="358"/>
      <c r="AA95" s="359"/>
      <c r="AB95" s="350"/>
    </row>
    <row r="96" spans="1:28" s="149" customFormat="1" ht="102">
      <c r="A96" s="349">
        <v>91</v>
      </c>
      <c r="B96" s="370" t="s">
        <v>1271</v>
      </c>
      <c r="C96" s="360" t="s">
        <v>1272</v>
      </c>
      <c r="D96" s="360" t="s">
        <v>1193</v>
      </c>
      <c r="E96" s="352" t="s">
        <v>1025</v>
      </c>
      <c r="F96" s="361">
        <v>4285.84</v>
      </c>
      <c r="G96" s="361">
        <v>4285.84</v>
      </c>
      <c r="H96" s="361">
        <v>4285.84</v>
      </c>
      <c r="I96" s="361">
        <v>4285.84</v>
      </c>
      <c r="J96" s="361">
        <v>4285.84</v>
      </c>
      <c r="K96" s="361">
        <v>4285.84</v>
      </c>
      <c r="L96" s="361">
        <v>4285.84</v>
      </c>
      <c r="M96" s="361">
        <v>4285.84</v>
      </c>
      <c r="N96" s="362">
        <v>4285.84</v>
      </c>
      <c r="O96" s="362">
        <v>4285.84</v>
      </c>
      <c r="P96" s="363" t="s">
        <v>1194</v>
      </c>
      <c r="Q96" s="356">
        <v>0.1</v>
      </c>
      <c r="R96" s="357">
        <v>0</v>
      </c>
      <c r="S96" s="358">
        <v>0</v>
      </c>
      <c r="T96" s="358">
        <v>0</v>
      </c>
      <c r="U96" s="358">
        <v>0</v>
      </c>
      <c r="V96" s="358">
        <v>0</v>
      </c>
      <c r="W96" s="359">
        <f t="shared" si="2"/>
        <v>4285.84</v>
      </c>
      <c r="X96" s="350" t="s">
        <v>599</v>
      </c>
      <c r="Y96" s="358"/>
      <c r="Z96" s="358"/>
      <c r="AA96" s="359"/>
      <c r="AB96" s="350"/>
    </row>
    <row r="97" spans="1:28" s="149" customFormat="1" ht="102">
      <c r="A97" s="349">
        <v>92</v>
      </c>
      <c r="B97" s="370" t="s">
        <v>1273</v>
      </c>
      <c r="C97" s="360" t="s">
        <v>1274</v>
      </c>
      <c r="D97" s="360" t="s">
        <v>1239</v>
      </c>
      <c r="E97" s="352" t="s">
        <v>1025</v>
      </c>
      <c r="F97" s="361">
        <v>20368.400000000001</v>
      </c>
      <c r="G97" s="361">
        <v>20368.400000000001</v>
      </c>
      <c r="H97" s="361">
        <v>20368.400000000001</v>
      </c>
      <c r="I97" s="361">
        <v>20368.400000000001</v>
      </c>
      <c r="J97" s="361">
        <v>20368.400000000001</v>
      </c>
      <c r="K97" s="361">
        <v>20368.400000000001</v>
      </c>
      <c r="L97" s="361">
        <v>20368.400000000001</v>
      </c>
      <c r="M97" s="361">
        <v>20368.400000000001</v>
      </c>
      <c r="N97" s="362">
        <v>20368.400000000001</v>
      </c>
      <c r="O97" s="362">
        <v>20368.400000000001</v>
      </c>
      <c r="P97" s="363" t="s">
        <v>1194</v>
      </c>
      <c r="Q97" s="356">
        <v>0.1</v>
      </c>
      <c r="R97" s="357">
        <v>0</v>
      </c>
      <c r="S97" s="358">
        <v>0</v>
      </c>
      <c r="T97" s="358">
        <v>0</v>
      </c>
      <c r="U97" s="358">
        <v>0</v>
      </c>
      <c r="V97" s="358">
        <v>0</v>
      </c>
      <c r="W97" s="359">
        <f t="shared" si="2"/>
        <v>20368.400000000001</v>
      </c>
      <c r="X97" s="350" t="s">
        <v>599</v>
      </c>
      <c r="Y97" s="358"/>
      <c r="Z97" s="358"/>
      <c r="AA97" s="359"/>
      <c r="AB97" s="350"/>
    </row>
    <row r="98" spans="1:28" s="149" customFormat="1" ht="89.25">
      <c r="A98" s="349">
        <v>93</v>
      </c>
      <c r="B98" s="349" t="s">
        <v>1275</v>
      </c>
      <c r="C98" s="368" t="s">
        <v>1276</v>
      </c>
      <c r="D98" s="368" t="s">
        <v>1277</v>
      </c>
      <c r="E98" s="352" t="s">
        <v>1011</v>
      </c>
      <c r="F98" s="361">
        <v>260</v>
      </c>
      <c r="G98" s="361">
        <v>260</v>
      </c>
      <c r="H98" s="361">
        <v>260</v>
      </c>
      <c r="I98" s="361">
        <v>260</v>
      </c>
      <c r="J98" s="361">
        <v>260</v>
      </c>
      <c r="K98" s="361">
        <v>260</v>
      </c>
      <c r="L98" s="361">
        <v>260</v>
      </c>
      <c r="M98" s="361">
        <v>260</v>
      </c>
      <c r="N98" s="362">
        <v>260</v>
      </c>
      <c r="O98" s="362">
        <v>260</v>
      </c>
      <c r="P98" s="363">
        <v>42535</v>
      </c>
      <c r="Q98" s="356">
        <v>1</v>
      </c>
      <c r="R98" s="357">
        <v>1</v>
      </c>
      <c r="S98" s="358">
        <v>0</v>
      </c>
      <c r="T98" s="358">
        <v>0</v>
      </c>
      <c r="U98" s="358">
        <v>0</v>
      </c>
      <c r="V98" s="358">
        <v>0</v>
      </c>
      <c r="W98" s="359">
        <f t="shared" si="2"/>
        <v>260</v>
      </c>
      <c r="X98" s="350" t="s">
        <v>599</v>
      </c>
      <c r="Y98" s="358"/>
      <c r="Z98" s="358"/>
      <c r="AA98" s="359"/>
      <c r="AB98" s="350"/>
    </row>
    <row r="99" spans="1:28" s="149" customFormat="1" ht="102">
      <c r="A99" s="349">
        <v>94</v>
      </c>
      <c r="B99" s="370" t="s">
        <v>1278</v>
      </c>
      <c r="C99" s="368" t="s">
        <v>1279</v>
      </c>
      <c r="D99" s="360" t="s">
        <v>1242</v>
      </c>
      <c r="E99" s="352" t="s">
        <v>1025</v>
      </c>
      <c r="F99" s="361">
        <v>25084.799999999999</v>
      </c>
      <c r="G99" s="361">
        <v>25084.799999999999</v>
      </c>
      <c r="H99" s="361">
        <v>25084.799999999999</v>
      </c>
      <c r="I99" s="361">
        <v>25084.799999999999</v>
      </c>
      <c r="J99" s="361">
        <v>25084.799999999999</v>
      </c>
      <c r="K99" s="361">
        <v>25084.799999999999</v>
      </c>
      <c r="L99" s="361">
        <v>25084.799999999999</v>
      </c>
      <c r="M99" s="361">
        <v>25084.799999999999</v>
      </c>
      <c r="N99" s="362">
        <v>25084.799999999999</v>
      </c>
      <c r="O99" s="362">
        <v>25084.799999999999</v>
      </c>
      <c r="P99" s="363">
        <v>43190</v>
      </c>
      <c r="Q99" s="356">
        <v>0.2</v>
      </c>
      <c r="R99" s="357">
        <v>0</v>
      </c>
      <c r="S99" s="358">
        <v>0</v>
      </c>
      <c r="T99" s="358">
        <v>0</v>
      </c>
      <c r="U99" s="358">
        <v>0</v>
      </c>
      <c r="V99" s="358">
        <v>0</v>
      </c>
      <c r="W99" s="359">
        <f t="shared" si="2"/>
        <v>25084.799999999999</v>
      </c>
      <c r="X99" s="350" t="s">
        <v>599</v>
      </c>
      <c r="Y99" s="358"/>
      <c r="Z99" s="358"/>
      <c r="AA99" s="359"/>
      <c r="AB99" s="350"/>
    </row>
    <row r="100" spans="1:28" s="149" customFormat="1" ht="102">
      <c r="A100" s="349">
        <v>95</v>
      </c>
      <c r="B100" s="370" t="s">
        <v>1280</v>
      </c>
      <c r="C100" s="368" t="s">
        <v>1281</v>
      </c>
      <c r="D100" s="368" t="s">
        <v>1282</v>
      </c>
      <c r="E100" s="352" t="s">
        <v>1025</v>
      </c>
      <c r="F100" s="361">
        <v>46800</v>
      </c>
      <c r="G100" s="361">
        <v>46800</v>
      </c>
      <c r="H100" s="361">
        <v>46800</v>
      </c>
      <c r="I100" s="361">
        <v>46800</v>
      </c>
      <c r="J100" s="361">
        <v>46800</v>
      </c>
      <c r="K100" s="361">
        <v>46800</v>
      </c>
      <c r="L100" s="361">
        <v>46800</v>
      </c>
      <c r="M100" s="361">
        <v>46800</v>
      </c>
      <c r="N100" s="362">
        <v>46800</v>
      </c>
      <c r="O100" s="362">
        <v>46800</v>
      </c>
      <c r="P100" s="355" t="s">
        <v>1130</v>
      </c>
      <c r="Q100" s="356">
        <v>1</v>
      </c>
      <c r="R100" s="357">
        <v>0.95</v>
      </c>
      <c r="S100" s="358">
        <v>46651</v>
      </c>
      <c r="T100" s="358">
        <v>0</v>
      </c>
      <c r="U100" s="358"/>
      <c r="V100" s="358"/>
      <c r="W100" s="359">
        <f t="shared" si="2"/>
        <v>149</v>
      </c>
      <c r="X100" s="350" t="s">
        <v>599</v>
      </c>
      <c r="Y100" s="358"/>
      <c r="Z100" s="358"/>
      <c r="AA100" s="359"/>
      <c r="AB100" s="350"/>
    </row>
    <row r="101" spans="1:28" s="149" customFormat="1" ht="102">
      <c r="A101" s="349">
        <v>96</v>
      </c>
      <c r="B101" s="370" t="s">
        <v>1283</v>
      </c>
      <c r="C101" s="368" t="s">
        <v>1284</v>
      </c>
      <c r="D101" s="360" t="s">
        <v>1285</v>
      </c>
      <c r="E101" s="352" t="s">
        <v>1025</v>
      </c>
      <c r="F101" s="361">
        <v>291766.8</v>
      </c>
      <c r="G101" s="361">
        <v>291766.8</v>
      </c>
      <c r="H101" s="361">
        <v>291766.8</v>
      </c>
      <c r="I101" s="361">
        <v>291766.8</v>
      </c>
      <c r="J101" s="361">
        <v>291766.8</v>
      </c>
      <c r="K101" s="361">
        <v>291766.8</v>
      </c>
      <c r="L101" s="361">
        <v>291766.8</v>
      </c>
      <c r="M101" s="361">
        <v>291766.8</v>
      </c>
      <c r="N101" s="362">
        <v>291766.8</v>
      </c>
      <c r="O101" s="362">
        <v>291766.8</v>
      </c>
      <c r="P101" s="363">
        <v>43160</v>
      </c>
      <c r="Q101" s="356">
        <v>1</v>
      </c>
      <c r="R101" s="357">
        <v>0.95</v>
      </c>
      <c r="S101" s="358">
        <f>10000+189650</f>
        <v>199650</v>
      </c>
      <c r="T101" s="358">
        <v>1290</v>
      </c>
      <c r="U101" s="358"/>
      <c r="V101" s="358"/>
      <c r="W101" s="359">
        <f t="shared" si="2"/>
        <v>90826.799999999988</v>
      </c>
      <c r="X101" s="350" t="s">
        <v>599</v>
      </c>
      <c r="Y101" s="358"/>
      <c r="Z101" s="358"/>
      <c r="AA101" s="359"/>
      <c r="AB101" s="350"/>
    </row>
    <row r="102" spans="1:28" s="149" customFormat="1" ht="102">
      <c r="A102" s="349">
        <v>97</v>
      </c>
      <c r="B102" s="370" t="s">
        <v>1286</v>
      </c>
      <c r="C102" s="368" t="s">
        <v>1287</v>
      </c>
      <c r="D102" s="368" t="s">
        <v>1239</v>
      </c>
      <c r="E102" s="352" t="s">
        <v>1025</v>
      </c>
      <c r="F102" s="361">
        <v>65007.28</v>
      </c>
      <c r="G102" s="361">
        <v>65007.28</v>
      </c>
      <c r="H102" s="361">
        <v>65007.28</v>
      </c>
      <c r="I102" s="361">
        <v>65007.28</v>
      </c>
      <c r="J102" s="361">
        <v>65007.28</v>
      </c>
      <c r="K102" s="361">
        <v>65007.28</v>
      </c>
      <c r="L102" s="361">
        <v>65007.28</v>
      </c>
      <c r="M102" s="361">
        <v>65007.28</v>
      </c>
      <c r="N102" s="362">
        <v>65007.28</v>
      </c>
      <c r="O102" s="362">
        <v>65007.28</v>
      </c>
      <c r="P102" s="363">
        <v>43190</v>
      </c>
      <c r="Q102" s="356">
        <v>0.2</v>
      </c>
      <c r="R102" s="357">
        <v>0</v>
      </c>
      <c r="S102" s="358">
        <v>0</v>
      </c>
      <c r="T102" s="358">
        <v>0</v>
      </c>
      <c r="U102" s="358">
        <v>0</v>
      </c>
      <c r="V102" s="358">
        <v>0</v>
      </c>
      <c r="W102" s="359">
        <f t="shared" si="2"/>
        <v>65007.28</v>
      </c>
      <c r="X102" s="350" t="s">
        <v>599</v>
      </c>
      <c r="Y102" s="358"/>
      <c r="Z102" s="358"/>
      <c r="AA102" s="359"/>
      <c r="AB102" s="350"/>
    </row>
    <row r="103" spans="1:28" s="149" customFormat="1" ht="102">
      <c r="A103" s="349">
        <v>98</v>
      </c>
      <c r="B103" s="371" t="s">
        <v>1288</v>
      </c>
      <c r="C103" s="368" t="s">
        <v>1289</v>
      </c>
      <c r="D103" s="368" t="s">
        <v>1290</v>
      </c>
      <c r="E103" s="352" t="s">
        <v>1025</v>
      </c>
      <c r="F103" s="361">
        <v>520000</v>
      </c>
      <c r="G103" s="361">
        <v>520000</v>
      </c>
      <c r="H103" s="361">
        <v>520000</v>
      </c>
      <c r="I103" s="361">
        <v>520000</v>
      </c>
      <c r="J103" s="361">
        <v>520000</v>
      </c>
      <c r="K103" s="361">
        <v>520000</v>
      </c>
      <c r="L103" s="361">
        <v>520000</v>
      </c>
      <c r="M103" s="361">
        <v>520000</v>
      </c>
      <c r="N103" s="362">
        <v>520000</v>
      </c>
      <c r="O103" s="362">
        <v>520000</v>
      </c>
      <c r="P103" s="363" t="s">
        <v>1194</v>
      </c>
      <c r="Q103" s="356">
        <v>1</v>
      </c>
      <c r="R103" s="357">
        <v>0</v>
      </c>
      <c r="S103" s="358">
        <v>0</v>
      </c>
      <c r="T103" s="358">
        <v>0</v>
      </c>
      <c r="U103" s="358">
        <v>0</v>
      </c>
      <c r="V103" s="358">
        <v>0</v>
      </c>
      <c r="W103" s="359">
        <f t="shared" si="2"/>
        <v>520000</v>
      </c>
      <c r="X103" s="350" t="s">
        <v>599</v>
      </c>
      <c r="Y103" s="358"/>
      <c r="Z103" s="358"/>
      <c r="AA103" s="359"/>
      <c r="AB103" s="350"/>
    </row>
    <row r="104" spans="1:28" s="149" customFormat="1" ht="102">
      <c r="A104" s="349">
        <v>99</v>
      </c>
      <c r="B104" s="371" t="s">
        <v>1291</v>
      </c>
      <c r="C104" s="368" t="s">
        <v>1292</v>
      </c>
      <c r="D104" s="368" t="s">
        <v>1293</v>
      </c>
      <c r="E104" s="352" t="s">
        <v>1025</v>
      </c>
      <c r="F104" s="361">
        <v>62400</v>
      </c>
      <c r="G104" s="361">
        <v>62400</v>
      </c>
      <c r="H104" s="361">
        <v>62400</v>
      </c>
      <c r="I104" s="361">
        <v>62400</v>
      </c>
      <c r="J104" s="361">
        <v>62400</v>
      </c>
      <c r="K104" s="361">
        <v>62400</v>
      </c>
      <c r="L104" s="361">
        <v>62400</v>
      </c>
      <c r="M104" s="361">
        <v>62400</v>
      </c>
      <c r="N104" s="362">
        <v>62400</v>
      </c>
      <c r="O104" s="362">
        <v>62400</v>
      </c>
      <c r="P104" s="363">
        <v>43221</v>
      </c>
      <c r="Q104" s="356">
        <v>0.2</v>
      </c>
      <c r="R104" s="357">
        <v>0</v>
      </c>
      <c r="S104" s="358">
        <v>0</v>
      </c>
      <c r="T104" s="358">
        <v>0</v>
      </c>
      <c r="U104" s="358">
        <v>0</v>
      </c>
      <c r="V104" s="358">
        <v>0</v>
      </c>
      <c r="W104" s="359">
        <f t="shared" si="2"/>
        <v>62400</v>
      </c>
      <c r="X104" s="350" t="s">
        <v>599</v>
      </c>
      <c r="Y104" s="358"/>
      <c r="Z104" s="358"/>
      <c r="AA104" s="359"/>
      <c r="AB104" s="350"/>
    </row>
    <row r="105" spans="1:28" s="149" customFormat="1" ht="102">
      <c r="A105" s="349">
        <v>100</v>
      </c>
      <c r="B105" s="371" t="s">
        <v>1294</v>
      </c>
      <c r="C105" s="360" t="s">
        <v>1295</v>
      </c>
      <c r="D105" s="360" t="s">
        <v>1296</v>
      </c>
      <c r="E105" s="352" t="s">
        <v>1025</v>
      </c>
      <c r="F105" s="361">
        <v>0</v>
      </c>
      <c r="G105" s="361">
        <v>0</v>
      </c>
      <c r="H105" s="361">
        <v>650000</v>
      </c>
      <c r="I105" s="361">
        <v>650000</v>
      </c>
      <c r="J105" s="361">
        <v>650000</v>
      </c>
      <c r="K105" s="361">
        <v>650000</v>
      </c>
      <c r="L105" s="361">
        <v>650000</v>
      </c>
      <c r="M105" s="361">
        <v>650000</v>
      </c>
      <c r="N105" s="362">
        <v>650000</v>
      </c>
      <c r="O105" s="362">
        <v>650000</v>
      </c>
      <c r="P105" s="355" t="s">
        <v>1297</v>
      </c>
      <c r="Q105" s="356">
        <v>1</v>
      </c>
      <c r="R105" s="357">
        <v>0</v>
      </c>
      <c r="S105" s="358">
        <v>0</v>
      </c>
      <c r="T105" s="358">
        <v>0</v>
      </c>
      <c r="U105" s="358">
        <v>0</v>
      </c>
      <c r="V105" s="358"/>
      <c r="W105" s="359">
        <f t="shared" si="2"/>
        <v>650000</v>
      </c>
      <c r="X105" s="350" t="s">
        <v>599</v>
      </c>
      <c r="Y105" s="358"/>
      <c r="Z105" s="358"/>
      <c r="AA105" s="359"/>
      <c r="AB105" s="350"/>
    </row>
    <row r="106" spans="1:28" s="149" customFormat="1" ht="102">
      <c r="A106" s="349">
        <v>101</v>
      </c>
      <c r="B106" s="371" t="s">
        <v>1298</v>
      </c>
      <c r="C106" s="360" t="s">
        <v>1299</v>
      </c>
      <c r="D106" s="352" t="s">
        <v>1040</v>
      </c>
      <c r="E106" s="352" t="s">
        <v>1025</v>
      </c>
      <c r="F106" s="361">
        <v>0</v>
      </c>
      <c r="G106" s="361">
        <v>0</v>
      </c>
      <c r="H106" s="361">
        <v>350000</v>
      </c>
      <c r="I106" s="361">
        <v>350000</v>
      </c>
      <c r="J106" s="361">
        <v>350000</v>
      </c>
      <c r="K106" s="361">
        <v>350000</v>
      </c>
      <c r="L106" s="361">
        <v>350000</v>
      </c>
      <c r="M106" s="361">
        <v>350000</v>
      </c>
      <c r="N106" s="362">
        <v>350000</v>
      </c>
      <c r="O106" s="362">
        <v>350000</v>
      </c>
      <c r="P106" s="363">
        <v>43221</v>
      </c>
      <c r="Q106" s="356">
        <v>0.5</v>
      </c>
      <c r="R106" s="357">
        <v>0</v>
      </c>
      <c r="S106" s="358">
        <v>0</v>
      </c>
      <c r="T106" s="358">
        <v>0</v>
      </c>
      <c r="U106" s="358">
        <v>0</v>
      </c>
      <c r="V106" s="358">
        <v>0</v>
      </c>
      <c r="W106" s="359">
        <f t="shared" si="2"/>
        <v>350000</v>
      </c>
      <c r="X106" s="350" t="s">
        <v>599</v>
      </c>
      <c r="Y106" s="358"/>
      <c r="Z106" s="358"/>
      <c r="AA106" s="359"/>
      <c r="AB106" s="350"/>
    </row>
    <row r="107" spans="1:28" s="149" customFormat="1" ht="102">
      <c r="A107" s="349">
        <v>102</v>
      </c>
      <c r="B107" s="371" t="s">
        <v>1300</v>
      </c>
      <c r="C107" s="360" t="s">
        <v>1301</v>
      </c>
      <c r="D107" s="360" t="s">
        <v>1302</v>
      </c>
      <c r="E107" s="352" t="s">
        <v>1025</v>
      </c>
      <c r="F107" s="361">
        <v>0</v>
      </c>
      <c r="G107" s="361">
        <v>0</v>
      </c>
      <c r="H107" s="361">
        <v>100000</v>
      </c>
      <c r="I107" s="361">
        <v>100000</v>
      </c>
      <c r="J107" s="361">
        <v>100000</v>
      </c>
      <c r="K107" s="361">
        <v>100000</v>
      </c>
      <c r="L107" s="361">
        <v>100000</v>
      </c>
      <c r="M107" s="361">
        <v>100000</v>
      </c>
      <c r="N107" s="362">
        <v>100000</v>
      </c>
      <c r="O107" s="362">
        <v>100000</v>
      </c>
      <c r="P107" s="363">
        <v>42972</v>
      </c>
      <c r="Q107" s="356">
        <v>1</v>
      </c>
      <c r="R107" s="357">
        <v>1</v>
      </c>
      <c r="S107" s="358"/>
      <c r="T107" s="358">
        <v>21309.18</v>
      </c>
      <c r="U107" s="358"/>
      <c r="V107" s="358"/>
      <c r="W107" s="359">
        <f t="shared" si="2"/>
        <v>78690.820000000007</v>
      </c>
      <c r="X107" s="350" t="s">
        <v>599</v>
      </c>
      <c r="Y107" s="358"/>
      <c r="Z107" s="358"/>
      <c r="AA107" s="359"/>
      <c r="AB107" s="350"/>
    </row>
    <row r="108" spans="1:28" s="149" customFormat="1" ht="102">
      <c r="A108" s="349">
        <v>103</v>
      </c>
      <c r="B108" s="371" t="s">
        <v>1303</v>
      </c>
      <c r="C108" s="360" t="s">
        <v>1304</v>
      </c>
      <c r="D108" s="360" t="s">
        <v>1296</v>
      </c>
      <c r="E108" s="352" t="s">
        <v>1025</v>
      </c>
      <c r="F108" s="361">
        <v>0</v>
      </c>
      <c r="G108" s="361">
        <v>0</v>
      </c>
      <c r="H108" s="361">
        <v>100000</v>
      </c>
      <c r="I108" s="361">
        <v>100000</v>
      </c>
      <c r="J108" s="361">
        <v>100000</v>
      </c>
      <c r="K108" s="361">
        <v>100000</v>
      </c>
      <c r="L108" s="361">
        <v>100000</v>
      </c>
      <c r="M108" s="361">
        <v>100000</v>
      </c>
      <c r="N108" s="362">
        <v>100000</v>
      </c>
      <c r="O108" s="362">
        <v>100000</v>
      </c>
      <c r="P108" s="363" t="s">
        <v>1194</v>
      </c>
      <c r="Q108" s="356">
        <v>1</v>
      </c>
      <c r="R108" s="357">
        <v>0</v>
      </c>
      <c r="S108" s="358">
        <v>0</v>
      </c>
      <c r="T108" s="358">
        <v>0</v>
      </c>
      <c r="U108" s="358">
        <v>0</v>
      </c>
      <c r="V108" s="358">
        <v>0</v>
      </c>
      <c r="W108" s="359">
        <f t="shared" si="2"/>
        <v>100000</v>
      </c>
      <c r="X108" s="350" t="s">
        <v>599</v>
      </c>
      <c r="Y108" s="358"/>
      <c r="Z108" s="358"/>
      <c r="AA108" s="359"/>
      <c r="AB108" s="350"/>
    </row>
    <row r="109" spans="1:28" s="149" customFormat="1" ht="102">
      <c r="A109" s="349">
        <v>104</v>
      </c>
      <c r="B109" s="371" t="s">
        <v>1305</v>
      </c>
      <c r="C109" s="351" t="s">
        <v>1306</v>
      </c>
      <c r="D109" s="360" t="s">
        <v>1230</v>
      </c>
      <c r="E109" s="352" t="s">
        <v>1025</v>
      </c>
      <c r="F109" s="361">
        <v>0</v>
      </c>
      <c r="G109" s="361">
        <v>0</v>
      </c>
      <c r="H109" s="361">
        <v>50000</v>
      </c>
      <c r="I109" s="361">
        <v>50000</v>
      </c>
      <c r="J109" s="361">
        <v>50000</v>
      </c>
      <c r="K109" s="361">
        <v>50000</v>
      </c>
      <c r="L109" s="361">
        <v>50000</v>
      </c>
      <c r="M109" s="361">
        <v>50000</v>
      </c>
      <c r="N109" s="362">
        <v>50000</v>
      </c>
      <c r="O109" s="362">
        <v>50000</v>
      </c>
      <c r="P109" s="363" t="s">
        <v>1307</v>
      </c>
      <c r="Q109" s="356">
        <v>1</v>
      </c>
      <c r="R109" s="357">
        <v>1</v>
      </c>
      <c r="S109" s="358">
        <v>0</v>
      </c>
      <c r="T109" s="358">
        <v>0</v>
      </c>
      <c r="U109" s="358">
        <v>0</v>
      </c>
      <c r="V109" s="358">
        <v>0</v>
      </c>
      <c r="W109" s="359">
        <f t="shared" si="2"/>
        <v>50000</v>
      </c>
      <c r="X109" s="350" t="s">
        <v>143</v>
      </c>
      <c r="Y109" s="358"/>
      <c r="Z109" s="358"/>
      <c r="AA109" s="359"/>
      <c r="AB109" s="350"/>
    </row>
    <row r="110" spans="1:28" s="149" customFormat="1" ht="102">
      <c r="A110" s="349">
        <v>105</v>
      </c>
      <c r="B110" s="371" t="s">
        <v>1308</v>
      </c>
      <c r="C110" s="351" t="s">
        <v>1309</v>
      </c>
      <c r="D110" s="360" t="s">
        <v>1310</v>
      </c>
      <c r="E110" s="352" t="s">
        <v>1025</v>
      </c>
      <c r="F110" s="361">
        <v>0</v>
      </c>
      <c r="G110" s="361">
        <v>0</v>
      </c>
      <c r="H110" s="361">
        <v>100000</v>
      </c>
      <c r="I110" s="361">
        <v>100000</v>
      </c>
      <c r="J110" s="361">
        <v>100000</v>
      </c>
      <c r="K110" s="361">
        <v>100000</v>
      </c>
      <c r="L110" s="361">
        <v>100000</v>
      </c>
      <c r="M110" s="361">
        <v>100000</v>
      </c>
      <c r="N110" s="362">
        <v>100000</v>
      </c>
      <c r="O110" s="362">
        <v>100000</v>
      </c>
      <c r="P110" s="363">
        <v>43191</v>
      </c>
      <c r="Q110" s="356">
        <v>1</v>
      </c>
      <c r="R110" s="357">
        <v>0.5</v>
      </c>
      <c r="S110" s="358">
        <v>102834.17</v>
      </c>
      <c r="T110" s="358">
        <v>379.94</v>
      </c>
      <c r="U110" s="358"/>
      <c r="V110" s="358"/>
      <c r="W110" s="359">
        <f t="shared" si="2"/>
        <v>-3214.1099999999983</v>
      </c>
      <c r="X110" s="350" t="s">
        <v>599</v>
      </c>
      <c r="Y110" s="358"/>
      <c r="Z110" s="358"/>
      <c r="AA110" s="359"/>
      <c r="AB110" s="350"/>
    </row>
    <row r="111" spans="1:28" s="149" customFormat="1" ht="191.25">
      <c r="A111" s="349">
        <v>106</v>
      </c>
      <c r="B111" s="372" t="s">
        <v>1311</v>
      </c>
      <c r="C111" s="360" t="s">
        <v>1312</v>
      </c>
      <c r="D111" s="360" t="s">
        <v>1313</v>
      </c>
      <c r="E111" s="352" t="s">
        <v>1011</v>
      </c>
      <c r="F111" s="361">
        <f>1529759+338342.16</f>
        <v>1868101.16</v>
      </c>
      <c r="G111" s="361">
        <f>1529759</f>
        <v>1529759</v>
      </c>
      <c r="H111" s="361">
        <f>1529759+280402-50000</f>
        <v>1760161</v>
      </c>
      <c r="I111" s="361">
        <f>(1529759+280402+120000-260)-SUM(I113:I128)</f>
        <v>1649613.19</v>
      </c>
      <c r="J111" s="361">
        <f>(1529759+280402+120000-260)-SUM(J113:J128)-SUM(J129:J133)</f>
        <v>1600613.19</v>
      </c>
      <c r="K111" s="361">
        <f>(1529759+280402+120000-260)-SUM(K113:K134)</f>
        <v>1553316.7</v>
      </c>
      <c r="L111" s="361">
        <f>(1529759+280402+120000-260-117530)-SUM(L113:L143)+19656</f>
        <v>379125.51</v>
      </c>
      <c r="M111" s="361">
        <f>(1529759+280402+120000-260-117530)-SUM(M113:M152)+19656</f>
        <v>61620.419999999925</v>
      </c>
      <c r="N111" s="362">
        <f>(1529759+17842.5+120000)-(137356+375000)-SUM(N113:N157)+338342.04</f>
        <v>-638956.59999999963</v>
      </c>
      <c r="O111" s="362">
        <f>(1529759+17842.5+120000)-(137356+375000)-SUM(O113:O157)+338342.04</f>
        <v>-638956.59999999963</v>
      </c>
      <c r="P111" s="355" t="s">
        <v>1314</v>
      </c>
      <c r="Q111" s="356" t="s">
        <v>794</v>
      </c>
      <c r="R111" s="357" t="s">
        <v>794</v>
      </c>
      <c r="S111" s="358">
        <v>0</v>
      </c>
      <c r="T111" s="358"/>
      <c r="U111" s="358">
        <v>0</v>
      </c>
      <c r="V111" s="358"/>
      <c r="W111" s="359">
        <f t="shared" si="2"/>
        <v>-638956.59999999963</v>
      </c>
      <c r="X111" s="350" t="s">
        <v>143</v>
      </c>
      <c r="Y111" s="358"/>
      <c r="Z111" s="358"/>
      <c r="AA111" s="359"/>
      <c r="AB111" s="350"/>
    </row>
    <row r="112" spans="1:28" s="149" customFormat="1" ht="242.25">
      <c r="A112" s="349">
        <v>107</v>
      </c>
      <c r="B112" s="372" t="s">
        <v>1315</v>
      </c>
      <c r="C112" s="360" t="s">
        <v>1312</v>
      </c>
      <c r="D112" s="360" t="s">
        <v>1316</v>
      </c>
      <c r="E112" s="352" t="s">
        <v>1025</v>
      </c>
      <c r="F112" s="361"/>
      <c r="G112" s="361">
        <v>0</v>
      </c>
      <c r="H112" s="361">
        <v>1457366</v>
      </c>
      <c r="I112" s="361">
        <f>(10700000-282097+260)-SUM(I60:I110)</f>
        <v>1335528.6600000001</v>
      </c>
      <c r="J112" s="361">
        <f>(10700000-282097+260)-SUM(J60:J110)</f>
        <v>1335528.6600000001</v>
      </c>
      <c r="K112" s="361">
        <f>(10700000-282097+260)-SUM(K59:K110)-SUM(K158:K158)+100000</f>
        <v>1270128.6600000001</v>
      </c>
      <c r="L112" s="361">
        <f>(10700000-282097+260)-SUM(L59:L110)-SUM(L158:L161)+100000</f>
        <v>983473.66000000015</v>
      </c>
      <c r="M112" s="361">
        <f>(10700000-282097+260)-SUM(M59:M110)-SUM(M158:M161)+100000</f>
        <v>983873.66000000015</v>
      </c>
      <c r="N112" s="362">
        <f>(10700000-282097+260)-SUM(N59:N110)-SUM(N158:N161)+100000</f>
        <v>953188.2100000002</v>
      </c>
      <c r="O112" s="362">
        <f>(10700000-282097+260)-SUM(O59:O110)-SUM(O158:O164)+100000</f>
        <v>396740.45000000019</v>
      </c>
      <c r="P112" s="355" t="s">
        <v>1012</v>
      </c>
      <c r="Q112" s="373" t="s">
        <v>794</v>
      </c>
      <c r="R112" s="357" t="s">
        <v>794</v>
      </c>
      <c r="S112" s="358">
        <v>0</v>
      </c>
      <c r="T112" s="358">
        <v>0</v>
      </c>
      <c r="U112" s="358">
        <v>0</v>
      </c>
      <c r="V112" s="358">
        <v>0</v>
      </c>
      <c r="W112" s="359">
        <f t="shared" si="2"/>
        <v>396740.45000000019</v>
      </c>
      <c r="X112" s="350" t="s">
        <v>599</v>
      </c>
      <c r="Y112" s="358"/>
      <c r="Z112" s="358"/>
      <c r="AA112" s="359"/>
      <c r="AB112" s="350"/>
    </row>
    <row r="113" spans="1:28" s="149" customFormat="1" ht="127.5">
      <c r="A113" s="349">
        <v>108</v>
      </c>
      <c r="B113" s="372" t="s">
        <v>1317</v>
      </c>
      <c r="C113" s="360" t="s">
        <v>1318</v>
      </c>
      <c r="D113" s="360" t="s">
        <v>1319</v>
      </c>
      <c r="E113" s="352" t="s">
        <v>1011</v>
      </c>
      <c r="F113" s="361">
        <v>0</v>
      </c>
      <c r="G113" s="361">
        <v>0</v>
      </c>
      <c r="H113" s="361">
        <v>50000</v>
      </c>
      <c r="I113" s="361">
        <v>50000</v>
      </c>
      <c r="J113" s="361">
        <v>50000</v>
      </c>
      <c r="K113" s="361">
        <v>50000</v>
      </c>
      <c r="L113" s="361">
        <v>50000</v>
      </c>
      <c r="M113" s="361">
        <v>50000</v>
      </c>
      <c r="N113" s="362">
        <v>59800</v>
      </c>
      <c r="O113" s="362">
        <v>59800</v>
      </c>
      <c r="P113" s="363">
        <v>42826</v>
      </c>
      <c r="Q113" s="356">
        <v>1</v>
      </c>
      <c r="R113" s="357">
        <v>1</v>
      </c>
      <c r="S113" s="361"/>
      <c r="T113" s="361">
        <f>59800</f>
        <v>59800</v>
      </c>
      <c r="U113" s="361"/>
      <c r="V113" s="361"/>
      <c r="W113" s="359">
        <f t="shared" si="2"/>
        <v>0</v>
      </c>
      <c r="X113" s="350" t="s">
        <v>599</v>
      </c>
      <c r="Y113" s="361"/>
      <c r="Z113" s="361"/>
      <c r="AA113" s="359"/>
      <c r="AB113" s="350"/>
    </row>
    <row r="114" spans="1:28" s="149" customFormat="1" ht="140.25">
      <c r="A114" s="349">
        <v>109</v>
      </c>
      <c r="B114" s="350" t="s">
        <v>1320</v>
      </c>
      <c r="C114" s="360" t="s">
        <v>1321</v>
      </c>
      <c r="D114" s="360" t="s">
        <v>1322</v>
      </c>
      <c r="E114" s="352" t="s">
        <v>1011</v>
      </c>
      <c r="F114" s="361">
        <v>0</v>
      </c>
      <c r="G114" s="361">
        <v>0</v>
      </c>
      <c r="H114" s="361">
        <v>60000</v>
      </c>
      <c r="I114" s="361">
        <v>60000</v>
      </c>
      <c r="J114" s="361">
        <v>60000</v>
      </c>
      <c r="K114" s="361">
        <v>60000</v>
      </c>
      <c r="L114" s="361">
        <v>60000</v>
      </c>
      <c r="M114" s="361">
        <v>60000</v>
      </c>
      <c r="N114" s="362">
        <v>49750</v>
      </c>
      <c r="O114" s="362">
        <v>49750</v>
      </c>
      <c r="P114" s="363">
        <v>42701</v>
      </c>
      <c r="Q114" s="356">
        <v>1</v>
      </c>
      <c r="R114" s="357">
        <v>1</v>
      </c>
      <c r="S114" s="358">
        <f>60000-60000</f>
        <v>0</v>
      </c>
      <c r="T114" s="358">
        <v>49750</v>
      </c>
      <c r="U114" s="358">
        <f>60000-60000</f>
        <v>0</v>
      </c>
      <c r="V114" s="358"/>
      <c r="W114" s="359">
        <f t="shared" si="2"/>
        <v>0</v>
      </c>
      <c r="X114" s="350" t="s">
        <v>599</v>
      </c>
      <c r="Y114" s="358"/>
      <c r="Z114" s="358"/>
      <c r="AA114" s="359"/>
      <c r="AB114" s="350"/>
    </row>
    <row r="115" spans="1:28" s="149" customFormat="1" ht="76.5">
      <c r="A115" s="349">
        <v>110</v>
      </c>
      <c r="B115" s="350" t="s">
        <v>1323</v>
      </c>
      <c r="C115" s="360" t="s">
        <v>1324</v>
      </c>
      <c r="D115" s="360" t="s">
        <v>1325</v>
      </c>
      <c r="E115" s="352" t="s">
        <v>1011</v>
      </c>
      <c r="F115" s="361"/>
      <c r="G115" s="361"/>
      <c r="H115" s="361"/>
      <c r="I115" s="361">
        <f t="shared" ref="I115:O115" si="3">15888+425</f>
        <v>16313</v>
      </c>
      <c r="J115" s="361">
        <f t="shared" si="3"/>
        <v>16313</v>
      </c>
      <c r="K115" s="361">
        <f t="shared" si="3"/>
        <v>16313</v>
      </c>
      <c r="L115" s="361">
        <f t="shared" si="3"/>
        <v>16313</v>
      </c>
      <c r="M115" s="361">
        <f t="shared" si="3"/>
        <v>16313</v>
      </c>
      <c r="N115" s="362">
        <f t="shared" si="3"/>
        <v>16313</v>
      </c>
      <c r="O115" s="362">
        <f t="shared" si="3"/>
        <v>16313</v>
      </c>
      <c r="P115" s="363">
        <v>42464</v>
      </c>
      <c r="Q115" s="356">
        <v>1</v>
      </c>
      <c r="R115" s="357">
        <v>1</v>
      </c>
      <c r="S115" s="362">
        <v>0</v>
      </c>
      <c r="T115" s="358">
        <f>1073+15240</f>
        <v>16313</v>
      </c>
      <c r="U115" s="362">
        <v>0</v>
      </c>
      <c r="V115" s="358"/>
      <c r="W115" s="359">
        <f t="shared" si="2"/>
        <v>0</v>
      </c>
      <c r="X115" s="350" t="s">
        <v>599</v>
      </c>
      <c r="Y115" s="362"/>
      <c r="Z115" s="358"/>
      <c r="AA115" s="359"/>
      <c r="AB115" s="350"/>
    </row>
    <row r="116" spans="1:28" s="149" customFormat="1" ht="89.25">
      <c r="A116" s="349">
        <f t="shared" ref="A116:A165" ca="1" si="4">OFFSET(A116,-1,0)+1</f>
        <v>111</v>
      </c>
      <c r="B116" s="350" t="s">
        <v>1326</v>
      </c>
      <c r="C116" s="360" t="s">
        <v>1327</v>
      </c>
      <c r="D116" s="360" t="s">
        <v>1328</v>
      </c>
      <c r="E116" s="352" t="s">
        <v>1011</v>
      </c>
      <c r="F116" s="361"/>
      <c r="G116" s="361"/>
      <c r="H116" s="361"/>
      <c r="I116" s="361">
        <v>6982.51</v>
      </c>
      <c r="J116" s="361">
        <v>6982.51</v>
      </c>
      <c r="K116" s="361">
        <v>6982.51</v>
      </c>
      <c r="L116" s="361">
        <v>6982.51</v>
      </c>
      <c r="M116" s="361">
        <v>6982.51</v>
      </c>
      <c r="N116" s="362">
        <v>6982.51</v>
      </c>
      <c r="O116" s="362">
        <v>6982.51</v>
      </c>
      <c r="P116" s="363">
        <v>42705</v>
      </c>
      <c r="Q116" s="356">
        <v>1</v>
      </c>
      <c r="R116" s="357">
        <v>1</v>
      </c>
      <c r="S116" s="362">
        <v>0</v>
      </c>
      <c r="T116" s="362">
        <v>6982.51</v>
      </c>
      <c r="U116" s="362">
        <v>0</v>
      </c>
      <c r="V116" s="362"/>
      <c r="W116" s="359">
        <f t="shared" si="2"/>
        <v>0</v>
      </c>
      <c r="X116" s="350" t="s">
        <v>599</v>
      </c>
      <c r="Y116" s="362"/>
      <c r="Z116" s="362"/>
      <c r="AA116" s="359"/>
      <c r="AB116" s="350"/>
    </row>
    <row r="117" spans="1:28" s="149" customFormat="1" ht="76.5">
      <c r="A117" s="349">
        <f t="shared" ca="1" si="4"/>
        <v>112</v>
      </c>
      <c r="B117" s="350" t="s">
        <v>1329</v>
      </c>
      <c r="C117" s="360" t="s">
        <v>1330</v>
      </c>
      <c r="D117" s="360" t="s">
        <v>1331</v>
      </c>
      <c r="E117" s="352" t="s">
        <v>1011</v>
      </c>
      <c r="F117" s="361"/>
      <c r="G117" s="361"/>
      <c r="H117" s="361"/>
      <c r="I117" s="361">
        <v>9100</v>
      </c>
      <c r="J117" s="361">
        <v>9100</v>
      </c>
      <c r="K117" s="361">
        <v>9100</v>
      </c>
      <c r="L117" s="361">
        <v>9100</v>
      </c>
      <c r="M117" s="361">
        <v>9100</v>
      </c>
      <c r="N117" s="362">
        <v>9100</v>
      </c>
      <c r="O117" s="362">
        <v>9100</v>
      </c>
      <c r="P117" s="363">
        <v>42335</v>
      </c>
      <c r="Q117" s="356">
        <v>1</v>
      </c>
      <c r="R117" s="357">
        <v>1</v>
      </c>
      <c r="S117" s="358">
        <v>0</v>
      </c>
      <c r="T117" s="358">
        <v>9100</v>
      </c>
      <c r="U117" s="358">
        <v>0</v>
      </c>
      <c r="V117" s="358"/>
      <c r="W117" s="359">
        <f t="shared" si="2"/>
        <v>0</v>
      </c>
      <c r="X117" s="350" t="s">
        <v>599</v>
      </c>
      <c r="Y117" s="358"/>
      <c r="Z117" s="358"/>
      <c r="AA117" s="359"/>
      <c r="AB117" s="350"/>
    </row>
    <row r="118" spans="1:28" s="149" customFormat="1" ht="76.5">
      <c r="A118" s="349">
        <f t="shared" ca="1" si="4"/>
        <v>113</v>
      </c>
      <c r="B118" s="350" t="s">
        <v>1332</v>
      </c>
      <c r="C118" s="360" t="s">
        <v>1333</v>
      </c>
      <c r="D118" s="360" t="s">
        <v>1334</v>
      </c>
      <c r="E118" s="352" t="s">
        <v>1011</v>
      </c>
      <c r="F118" s="361"/>
      <c r="G118" s="361"/>
      <c r="H118" s="361"/>
      <c r="I118" s="361">
        <v>10534</v>
      </c>
      <c r="J118" s="361">
        <v>10534</v>
      </c>
      <c r="K118" s="361">
        <v>10534</v>
      </c>
      <c r="L118" s="361">
        <v>10534</v>
      </c>
      <c r="M118" s="361">
        <v>10534</v>
      </c>
      <c r="N118" s="362">
        <v>10534</v>
      </c>
      <c r="O118" s="362">
        <v>10534</v>
      </c>
      <c r="P118" s="363">
        <v>42439</v>
      </c>
      <c r="Q118" s="356">
        <v>1</v>
      </c>
      <c r="R118" s="357">
        <v>1</v>
      </c>
      <c r="S118" s="362">
        <v>0</v>
      </c>
      <c r="T118" s="358">
        <v>10534</v>
      </c>
      <c r="U118" s="362">
        <v>0</v>
      </c>
      <c r="V118" s="358"/>
      <c r="W118" s="359">
        <f t="shared" si="2"/>
        <v>0</v>
      </c>
      <c r="X118" s="350" t="s">
        <v>599</v>
      </c>
      <c r="Y118" s="362"/>
      <c r="Z118" s="358"/>
      <c r="AA118" s="359"/>
      <c r="AB118" s="350"/>
    </row>
    <row r="119" spans="1:28" s="149" customFormat="1" ht="76.5">
      <c r="A119" s="349">
        <f t="shared" ca="1" si="4"/>
        <v>114</v>
      </c>
      <c r="B119" s="350" t="s">
        <v>1335</v>
      </c>
      <c r="C119" s="360" t="s">
        <v>1336</v>
      </c>
      <c r="D119" s="360" t="s">
        <v>1337</v>
      </c>
      <c r="E119" s="352" t="s">
        <v>1011</v>
      </c>
      <c r="F119" s="361"/>
      <c r="G119" s="361"/>
      <c r="H119" s="361"/>
      <c r="I119" s="361">
        <v>9850.5</v>
      </c>
      <c r="J119" s="361">
        <v>9850.5</v>
      </c>
      <c r="K119" s="361">
        <v>9850.5</v>
      </c>
      <c r="L119" s="361">
        <v>9850.5</v>
      </c>
      <c r="M119" s="361">
        <v>9850.5</v>
      </c>
      <c r="N119" s="362">
        <v>9850.5</v>
      </c>
      <c r="O119" s="362">
        <v>9850.5</v>
      </c>
      <c r="P119" s="363">
        <v>42422</v>
      </c>
      <c r="Q119" s="356">
        <v>1</v>
      </c>
      <c r="R119" s="357">
        <v>1</v>
      </c>
      <c r="S119" s="358">
        <v>0</v>
      </c>
      <c r="T119" s="362">
        <v>9850.5</v>
      </c>
      <c r="U119" s="358">
        <v>0</v>
      </c>
      <c r="V119" s="362"/>
      <c r="W119" s="359">
        <f t="shared" si="2"/>
        <v>0</v>
      </c>
      <c r="X119" s="350" t="s">
        <v>599</v>
      </c>
      <c r="Y119" s="358"/>
      <c r="Z119" s="362"/>
      <c r="AA119" s="359"/>
      <c r="AB119" s="350"/>
    </row>
    <row r="120" spans="1:28" s="149" customFormat="1" ht="76.5" customHeight="1">
      <c r="A120" s="349">
        <f t="shared" ca="1" si="4"/>
        <v>115</v>
      </c>
      <c r="B120" s="349" t="s">
        <v>1338</v>
      </c>
      <c r="C120" s="360" t="s">
        <v>1339</v>
      </c>
      <c r="D120" s="360" t="s">
        <v>1340</v>
      </c>
      <c r="E120" s="352" t="s">
        <v>1011</v>
      </c>
      <c r="F120" s="361"/>
      <c r="G120" s="361"/>
      <c r="H120" s="361"/>
      <c r="I120" s="361">
        <v>3310</v>
      </c>
      <c r="J120" s="361">
        <v>3310</v>
      </c>
      <c r="K120" s="361">
        <v>3310</v>
      </c>
      <c r="L120" s="361">
        <v>3310</v>
      </c>
      <c r="M120" s="361">
        <v>3310</v>
      </c>
      <c r="N120" s="362">
        <v>3310</v>
      </c>
      <c r="O120" s="362">
        <v>3310</v>
      </c>
      <c r="P120" s="363">
        <v>42354</v>
      </c>
      <c r="Q120" s="356">
        <v>1</v>
      </c>
      <c r="R120" s="357">
        <v>1</v>
      </c>
      <c r="S120" s="358">
        <v>0</v>
      </c>
      <c r="T120" s="362">
        <v>3310</v>
      </c>
      <c r="U120" s="358">
        <v>0</v>
      </c>
      <c r="V120" s="362"/>
      <c r="W120" s="359">
        <f t="shared" si="2"/>
        <v>0</v>
      </c>
      <c r="X120" s="350" t="s">
        <v>599</v>
      </c>
      <c r="Y120" s="358"/>
      <c r="Z120" s="362"/>
      <c r="AA120" s="359"/>
      <c r="AB120" s="350"/>
    </row>
    <row r="121" spans="1:28" s="149" customFormat="1" ht="114.75">
      <c r="A121" s="349">
        <f t="shared" ca="1" si="4"/>
        <v>116</v>
      </c>
      <c r="B121" s="349" t="s">
        <v>1341</v>
      </c>
      <c r="C121" s="351" t="s">
        <v>1342</v>
      </c>
      <c r="D121" s="360" t="s">
        <v>1343</v>
      </c>
      <c r="E121" s="352" t="s">
        <v>1011</v>
      </c>
      <c r="F121" s="361"/>
      <c r="G121" s="361"/>
      <c r="H121" s="361"/>
      <c r="I121" s="361">
        <v>3971</v>
      </c>
      <c r="J121" s="361">
        <v>3971</v>
      </c>
      <c r="K121" s="361">
        <v>3971</v>
      </c>
      <c r="L121" s="361">
        <v>3971</v>
      </c>
      <c r="M121" s="361">
        <v>3971</v>
      </c>
      <c r="N121" s="362">
        <v>3971</v>
      </c>
      <c r="O121" s="362">
        <v>3971</v>
      </c>
      <c r="P121" s="363">
        <v>42346</v>
      </c>
      <c r="Q121" s="356">
        <v>1</v>
      </c>
      <c r="R121" s="357">
        <v>1</v>
      </c>
      <c r="S121" s="358">
        <v>0</v>
      </c>
      <c r="T121" s="362">
        <v>3971</v>
      </c>
      <c r="U121" s="358">
        <v>0</v>
      </c>
      <c r="V121" s="362"/>
      <c r="W121" s="359">
        <f t="shared" si="2"/>
        <v>0</v>
      </c>
      <c r="X121" s="350" t="s">
        <v>599</v>
      </c>
      <c r="Y121" s="358"/>
      <c r="Z121" s="362"/>
      <c r="AA121" s="359"/>
      <c r="AB121" s="350"/>
    </row>
    <row r="122" spans="1:28" s="149" customFormat="1" ht="89.25">
      <c r="A122" s="349">
        <f t="shared" ca="1" si="4"/>
        <v>117</v>
      </c>
      <c r="B122" s="350" t="s">
        <v>1344</v>
      </c>
      <c r="C122" s="360" t="s">
        <v>1345</v>
      </c>
      <c r="D122" s="360" t="s">
        <v>1346</v>
      </c>
      <c r="E122" s="352" t="s">
        <v>1011</v>
      </c>
      <c r="F122" s="361"/>
      <c r="G122" s="361"/>
      <c r="H122" s="361"/>
      <c r="I122" s="361">
        <v>20362</v>
      </c>
      <c r="J122" s="361">
        <v>20362</v>
      </c>
      <c r="K122" s="361">
        <v>20362</v>
      </c>
      <c r="L122" s="361">
        <v>20362</v>
      </c>
      <c r="M122" s="361">
        <v>20362</v>
      </c>
      <c r="N122" s="362">
        <v>20362</v>
      </c>
      <c r="O122" s="362">
        <v>20362</v>
      </c>
      <c r="P122" s="363">
        <v>42375</v>
      </c>
      <c r="Q122" s="356">
        <v>1</v>
      </c>
      <c r="R122" s="357">
        <v>1</v>
      </c>
      <c r="S122" s="358">
        <f>20362-20362</f>
        <v>0</v>
      </c>
      <c r="T122" s="362">
        <v>20362</v>
      </c>
      <c r="U122" s="358">
        <f>20362-20362</f>
        <v>0</v>
      </c>
      <c r="V122" s="362"/>
      <c r="W122" s="359">
        <f t="shared" si="2"/>
        <v>0</v>
      </c>
      <c r="X122" s="350" t="s">
        <v>599</v>
      </c>
      <c r="Y122" s="358"/>
      <c r="Z122" s="362"/>
      <c r="AA122" s="359"/>
      <c r="AB122" s="350"/>
    </row>
    <row r="123" spans="1:28" s="149" customFormat="1" ht="76.5">
      <c r="A123" s="349">
        <f t="shared" ca="1" si="4"/>
        <v>118</v>
      </c>
      <c r="B123" s="350" t="s">
        <v>1347</v>
      </c>
      <c r="C123" s="360" t="s">
        <v>1348</v>
      </c>
      <c r="D123" s="360" t="s">
        <v>1331</v>
      </c>
      <c r="E123" s="352" t="s">
        <v>1011</v>
      </c>
      <c r="F123" s="361"/>
      <c r="G123" s="361"/>
      <c r="H123" s="361"/>
      <c r="I123" s="361">
        <v>14833</v>
      </c>
      <c r="J123" s="361">
        <v>14833</v>
      </c>
      <c r="K123" s="361">
        <v>14833</v>
      </c>
      <c r="L123" s="361">
        <v>14833</v>
      </c>
      <c r="M123" s="361">
        <v>14833</v>
      </c>
      <c r="N123" s="362">
        <v>14833</v>
      </c>
      <c r="O123" s="362">
        <v>14833</v>
      </c>
      <c r="P123" s="363">
        <v>42412</v>
      </c>
      <c r="Q123" s="356">
        <v>1</v>
      </c>
      <c r="R123" s="357">
        <v>1</v>
      </c>
      <c r="S123" s="362">
        <v>0</v>
      </c>
      <c r="T123" s="358">
        <v>14833</v>
      </c>
      <c r="U123" s="362">
        <v>0</v>
      </c>
      <c r="V123" s="358"/>
      <c r="W123" s="359">
        <f t="shared" si="2"/>
        <v>0</v>
      </c>
      <c r="X123" s="350" t="s">
        <v>599</v>
      </c>
      <c r="Y123" s="362"/>
      <c r="Z123" s="358"/>
      <c r="AA123" s="359"/>
      <c r="AB123" s="350"/>
    </row>
    <row r="124" spans="1:28" s="149" customFormat="1" ht="89.25">
      <c r="A124" s="349">
        <f t="shared" ca="1" si="4"/>
        <v>119</v>
      </c>
      <c r="B124" s="349" t="s">
        <v>1349</v>
      </c>
      <c r="C124" s="368" t="s">
        <v>1350</v>
      </c>
      <c r="D124" s="360" t="s">
        <v>1351</v>
      </c>
      <c r="E124" s="352" t="s">
        <v>1011</v>
      </c>
      <c r="F124" s="361"/>
      <c r="G124" s="361"/>
      <c r="H124" s="361"/>
      <c r="I124" s="361">
        <v>22950</v>
      </c>
      <c r="J124" s="361">
        <v>22950</v>
      </c>
      <c r="K124" s="361">
        <v>22950</v>
      </c>
      <c r="L124" s="361">
        <v>22950</v>
      </c>
      <c r="M124" s="361">
        <v>22950</v>
      </c>
      <c r="N124" s="362">
        <v>22950</v>
      </c>
      <c r="O124" s="362">
        <v>22950</v>
      </c>
      <c r="P124" s="363">
        <v>42447</v>
      </c>
      <c r="Q124" s="356">
        <v>1</v>
      </c>
      <c r="R124" s="357">
        <v>1</v>
      </c>
      <c r="S124" s="362">
        <v>0</v>
      </c>
      <c r="T124" s="358">
        <v>22950</v>
      </c>
      <c r="U124" s="362">
        <v>0</v>
      </c>
      <c r="V124" s="358"/>
      <c r="W124" s="359">
        <f t="shared" si="2"/>
        <v>0</v>
      </c>
      <c r="X124" s="350" t="s">
        <v>599</v>
      </c>
      <c r="Y124" s="362"/>
      <c r="Z124" s="358"/>
      <c r="AA124" s="359"/>
      <c r="AB124" s="350"/>
    </row>
    <row r="125" spans="1:28" s="149" customFormat="1" ht="76.5">
      <c r="A125" s="349">
        <f t="shared" ca="1" si="4"/>
        <v>120</v>
      </c>
      <c r="B125" s="350" t="s">
        <v>1352</v>
      </c>
      <c r="C125" s="360" t="s">
        <v>1353</v>
      </c>
      <c r="D125" s="360" t="s">
        <v>1354</v>
      </c>
      <c r="E125" s="352" t="s">
        <v>1011</v>
      </c>
      <c r="F125" s="361"/>
      <c r="G125" s="361"/>
      <c r="H125" s="361"/>
      <c r="I125" s="361">
        <v>4550.8500000000004</v>
      </c>
      <c r="J125" s="361">
        <v>4550.8500000000004</v>
      </c>
      <c r="K125" s="361">
        <v>4550.8500000000004</v>
      </c>
      <c r="L125" s="361">
        <v>4550.8500000000004</v>
      </c>
      <c r="M125" s="361">
        <v>4550.8500000000004</v>
      </c>
      <c r="N125" s="362">
        <v>4550.8500000000004</v>
      </c>
      <c r="O125" s="362">
        <v>4550.8500000000004</v>
      </c>
      <c r="P125" s="363">
        <v>42437</v>
      </c>
      <c r="Q125" s="356">
        <v>1</v>
      </c>
      <c r="R125" s="357">
        <v>1</v>
      </c>
      <c r="S125" s="362">
        <v>0</v>
      </c>
      <c r="T125" s="358">
        <v>4550.8500000000004</v>
      </c>
      <c r="U125" s="362">
        <v>0</v>
      </c>
      <c r="V125" s="358"/>
      <c r="W125" s="359">
        <f t="shared" si="2"/>
        <v>0</v>
      </c>
      <c r="X125" s="350" t="s">
        <v>599</v>
      </c>
      <c r="Y125" s="362"/>
      <c r="Z125" s="358"/>
      <c r="AA125" s="359"/>
      <c r="AB125" s="350"/>
    </row>
    <row r="126" spans="1:28" s="149" customFormat="1" ht="89.25">
      <c r="A126" s="349">
        <f t="shared" ca="1" si="4"/>
        <v>121</v>
      </c>
      <c r="B126" s="350" t="s">
        <v>1355</v>
      </c>
      <c r="C126" s="360" t="s">
        <v>1356</v>
      </c>
      <c r="D126" s="360" t="s">
        <v>1357</v>
      </c>
      <c r="E126" s="352" t="s">
        <v>1011</v>
      </c>
      <c r="F126" s="361"/>
      <c r="G126" s="361"/>
      <c r="H126" s="361"/>
      <c r="I126" s="361">
        <v>11676</v>
      </c>
      <c r="J126" s="361">
        <v>11676</v>
      </c>
      <c r="K126" s="361">
        <v>11676</v>
      </c>
      <c r="L126" s="361">
        <v>11676</v>
      </c>
      <c r="M126" s="361">
        <v>11676</v>
      </c>
      <c r="N126" s="362">
        <v>11676</v>
      </c>
      <c r="O126" s="362">
        <v>11676</v>
      </c>
      <c r="P126" s="363">
        <v>42481</v>
      </c>
      <c r="Q126" s="356">
        <v>1</v>
      </c>
      <c r="R126" s="357">
        <v>1</v>
      </c>
      <c r="S126" s="362">
        <v>0</v>
      </c>
      <c r="T126" s="358">
        <v>11676</v>
      </c>
      <c r="U126" s="362">
        <v>0</v>
      </c>
      <c r="V126" s="358"/>
      <c r="W126" s="359">
        <f t="shared" si="2"/>
        <v>0</v>
      </c>
      <c r="X126" s="350" t="s">
        <v>599</v>
      </c>
      <c r="Y126" s="362"/>
      <c r="Z126" s="358"/>
      <c r="AA126" s="359"/>
      <c r="AB126" s="350"/>
    </row>
    <row r="127" spans="1:28" s="149" customFormat="1" ht="76.5">
      <c r="A127" s="349">
        <f t="shared" ca="1" si="4"/>
        <v>122</v>
      </c>
      <c r="B127" s="350" t="s">
        <v>1358</v>
      </c>
      <c r="C127" s="360" t="s">
        <v>1359</v>
      </c>
      <c r="D127" s="360" t="s">
        <v>1360</v>
      </c>
      <c r="E127" s="352" t="s">
        <v>1011</v>
      </c>
      <c r="F127" s="374"/>
      <c r="G127" s="361"/>
      <c r="H127" s="361"/>
      <c r="I127" s="361">
        <v>2104.9499999999998</v>
      </c>
      <c r="J127" s="361">
        <v>2104.9499999999998</v>
      </c>
      <c r="K127" s="361">
        <v>2105</v>
      </c>
      <c r="L127" s="361">
        <v>2105</v>
      </c>
      <c r="M127" s="361">
        <v>2105</v>
      </c>
      <c r="N127" s="362">
        <v>2105</v>
      </c>
      <c r="O127" s="362">
        <v>2105</v>
      </c>
      <c r="P127" s="363">
        <v>42326</v>
      </c>
      <c r="Q127" s="356">
        <v>1</v>
      </c>
      <c r="R127" s="357">
        <v>1</v>
      </c>
      <c r="S127" s="358">
        <v>0</v>
      </c>
      <c r="T127" s="362">
        <v>2105</v>
      </c>
      <c r="U127" s="358">
        <v>0</v>
      </c>
      <c r="V127" s="362"/>
      <c r="W127" s="359">
        <f t="shared" si="2"/>
        <v>0</v>
      </c>
      <c r="X127" s="350" t="s">
        <v>599</v>
      </c>
      <c r="Y127" s="358"/>
      <c r="Z127" s="362"/>
      <c r="AA127" s="359"/>
      <c r="AB127" s="350"/>
    </row>
    <row r="128" spans="1:28" s="149" customFormat="1" ht="127.5">
      <c r="A128" s="349">
        <f t="shared" ca="1" si="4"/>
        <v>123</v>
      </c>
      <c r="B128" s="350" t="s">
        <v>1361</v>
      </c>
      <c r="C128" s="351" t="s">
        <v>1362</v>
      </c>
      <c r="D128" s="360" t="s">
        <v>1363</v>
      </c>
      <c r="E128" s="352" t="s">
        <v>1011</v>
      </c>
      <c r="F128" s="361"/>
      <c r="G128" s="361"/>
      <c r="H128" s="361"/>
      <c r="I128" s="361">
        <v>33750</v>
      </c>
      <c r="J128" s="361">
        <v>33750</v>
      </c>
      <c r="K128" s="361">
        <v>33750</v>
      </c>
      <c r="L128" s="361">
        <v>33750</v>
      </c>
      <c r="M128" s="361">
        <v>33750</v>
      </c>
      <c r="N128" s="362">
        <v>33750</v>
      </c>
      <c r="O128" s="362">
        <v>33750</v>
      </c>
      <c r="P128" s="363">
        <v>42500</v>
      </c>
      <c r="Q128" s="356">
        <v>1</v>
      </c>
      <c r="R128" s="357">
        <v>1</v>
      </c>
      <c r="S128" s="362">
        <v>0</v>
      </c>
      <c r="T128" s="358">
        <v>33750</v>
      </c>
      <c r="U128" s="362">
        <v>0</v>
      </c>
      <c r="V128" s="358"/>
      <c r="W128" s="359">
        <f t="shared" si="2"/>
        <v>0</v>
      </c>
      <c r="X128" s="350" t="s">
        <v>599</v>
      </c>
      <c r="Y128" s="362"/>
      <c r="Z128" s="358"/>
      <c r="AA128" s="359"/>
      <c r="AB128" s="350"/>
    </row>
    <row r="129" spans="1:28" s="149" customFormat="1" ht="114.75">
      <c r="A129" s="349">
        <f t="shared" ca="1" si="4"/>
        <v>124</v>
      </c>
      <c r="B129" s="372" t="s">
        <v>1364</v>
      </c>
      <c r="C129" s="351" t="s">
        <v>1365</v>
      </c>
      <c r="D129" s="360" t="s">
        <v>1366</v>
      </c>
      <c r="E129" s="352" t="s">
        <v>1011</v>
      </c>
      <c r="F129" s="361"/>
      <c r="G129" s="361"/>
      <c r="H129" s="361"/>
      <c r="I129" s="361"/>
      <c r="J129" s="361">
        <v>4500</v>
      </c>
      <c r="K129" s="361">
        <v>4500</v>
      </c>
      <c r="L129" s="361">
        <v>4500</v>
      </c>
      <c r="M129" s="361">
        <v>4500</v>
      </c>
      <c r="N129" s="362">
        <v>4516.3999999999996</v>
      </c>
      <c r="O129" s="362">
        <v>4516.3999999999996</v>
      </c>
      <c r="P129" s="363">
        <v>42602</v>
      </c>
      <c r="Q129" s="356">
        <v>1</v>
      </c>
      <c r="R129" s="357">
        <v>1</v>
      </c>
      <c r="S129" s="358">
        <v>0</v>
      </c>
      <c r="T129" s="358">
        <v>4516.3999999999996</v>
      </c>
      <c r="U129" s="358">
        <v>0</v>
      </c>
      <c r="V129" s="358"/>
      <c r="W129" s="359">
        <f t="shared" si="2"/>
        <v>0</v>
      </c>
      <c r="X129" s="350" t="s">
        <v>599</v>
      </c>
      <c r="Y129" s="358"/>
      <c r="Z129" s="358"/>
      <c r="AA129" s="359"/>
      <c r="AB129" s="350"/>
    </row>
    <row r="130" spans="1:28" s="149" customFormat="1" ht="114.75">
      <c r="A130" s="349">
        <f t="shared" ca="1" si="4"/>
        <v>125</v>
      </c>
      <c r="B130" s="372" t="s">
        <v>1364</v>
      </c>
      <c r="C130" s="351" t="s">
        <v>1367</v>
      </c>
      <c r="D130" s="360" t="s">
        <v>1368</v>
      </c>
      <c r="E130" s="352" t="s">
        <v>1011</v>
      </c>
      <c r="F130" s="361"/>
      <c r="G130" s="361"/>
      <c r="H130" s="361"/>
      <c r="I130" s="361"/>
      <c r="J130" s="361">
        <v>4500</v>
      </c>
      <c r="K130" s="361">
        <v>4500</v>
      </c>
      <c r="L130" s="361">
        <v>4500</v>
      </c>
      <c r="M130" s="361">
        <v>4500</v>
      </c>
      <c r="N130" s="362">
        <v>1400</v>
      </c>
      <c r="O130" s="362">
        <v>1400</v>
      </c>
      <c r="P130" s="363">
        <v>42602</v>
      </c>
      <c r="Q130" s="356">
        <v>1</v>
      </c>
      <c r="R130" s="357">
        <v>1</v>
      </c>
      <c r="S130" s="358">
        <v>0</v>
      </c>
      <c r="T130" s="358">
        <v>1400</v>
      </c>
      <c r="U130" s="358">
        <v>0</v>
      </c>
      <c r="V130" s="358"/>
      <c r="W130" s="359">
        <f t="shared" si="2"/>
        <v>0</v>
      </c>
      <c r="X130" s="350" t="s">
        <v>599</v>
      </c>
      <c r="Y130" s="358"/>
      <c r="Z130" s="358"/>
      <c r="AA130" s="359"/>
      <c r="AB130" s="350"/>
    </row>
    <row r="131" spans="1:28" s="149" customFormat="1" ht="127.5">
      <c r="A131" s="349">
        <f t="shared" ca="1" si="4"/>
        <v>126</v>
      </c>
      <c r="B131" s="350" t="s">
        <v>1326</v>
      </c>
      <c r="C131" s="360" t="s">
        <v>1369</v>
      </c>
      <c r="D131" s="360" t="s">
        <v>1370</v>
      </c>
      <c r="E131" s="352" t="s">
        <v>1011</v>
      </c>
      <c r="F131" s="361"/>
      <c r="G131" s="361"/>
      <c r="H131" s="361"/>
      <c r="I131" s="361"/>
      <c r="J131" s="361"/>
      <c r="K131" s="361">
        <v>31847</v>
      </c>
      <c r="L131" s="361">
        <v>31847</v>
      </c>
      <c r="M131" s="361">
        <v>33901</v>
      </c>
      <c r="N131" s="362">
        <v>33901</v>
      </c>
      <c r="O131" s="362">
        <v>33901</v>
      </c>
      <c r="P131" s="363">
        <v>42835</v>
      </c>
      <c r="Q131" s="356">
        <v>1</v>
      </c>
      <c r="R131" s="357">
        <v>1</v>
      </c>
      <c r="S131" s="362">
        <v>0</v>
      </c>
      <c r="T131" s="362">
        <v>33901</v>
      </c>
      <c r="U131" s="362">
        <v>0</v>
      </c>
      <c r="V131" s="362"/>
      <c r="W131" s="359">
        <f t="shared" si="2"/>
        <v>0</v>
      </c>
      <c r="X131" s="350" t="s">
        <v>599</v>
      </c>
      <c r="Y131" s="362"/>
      <c r="Z131" s="362"/>
      <c r="AA131" s="359"/>
      <c r="AB131" s="350"/>
    </row>
    <row r="132" spans="1:28" s="149" customFormat="1" ht="76.5">
      <c r="A132" s="349">
        <f t="shared" ca="1" si="4"/>
        <v>127</v>
      </c>
      <c r="B132" s="372" t="s">
        <v>1371</v>
      </c>
      <c r="C132" s="351" t="s">
        <v>1372</v>
      </c>
      <c r="D132" s="360" t="s">
        <v>1373</v>
      </c>
      <c r="E132" s="352" t="s">
        <v>1011</v>
      </c>
      <c r="F132" s="361"/>
      <c r="G132" s="361"/>
      <c r="H132" s="361"/>
      <c r="I132" s="361"/>
      <c r="J132" s="361"/>
      <c r="K132" s="361">
        <v>1449.44</v>
      </c>
      <c r="L132" s="365">
        <f>1449+1253.75</f>
        <v>2702.75</v>
      </c>
      <c r="M132" s="365">
        <f>1449+1253.75</f>
        <v>2702.75</v>
      </c>
      <c r="N132" s="375">
        <f>944.88+1253.75+3100+438</f>
        <v>5736.63</v>
      </c>
      <c r="O132" s="375">
        <f>944.88+1253.75+3100+438</f>
        <v>5736.63</v>
      </c>
      <c r="P132" s="363">
        <v>43099</v>
      </c>
      <c r="Q132" s="356">
        <v>1</v>
      </c>
      <c r="R132" s="357">
        <v>0.85</v>
      </c>
      <c r="S132" s="358">
        <v>3100</v>
      </c>
      <c r="T132" s="358">
        <f>944.88+1053.69+438</f>
        <v>2436.5700000000002</v>
      </c>
      <c r="U132" s="358"/>
      <c r="V132" s="358"/>
      <c r="W132" s="359">
        <f t="shared" si="2"/>
        <v>200.05999999999995</v>
      </c>
      <c r="X132" s="350" t="s">
        <v>599</v>
      </c>
      <c r="Y132" s="358"/>
      <c r="Z132" s="358"/>
      <c r="AA132" s="359"/>
      <c r="AB132" s="350"/>
    </row>
    <row r="133" spans="1:28" s="149" customFormat="1" ht="89.25">
      <c r="A133" s="349">
        <f t="shared" ca="1" si="4"/>
        <v>128</v>
      </c>
      <c r="B133" s="350" t="s">
        <v>1374</v>
      </c>
      <c r="C133" s="360" t="s">
        <v>1375</v>
      </c>
      <c r="D133" s="360" t="s">
        <v>1376</v>
      </c>
      <c r="E133" s="352" t="s">
        <v>1011</v>
      </c>
      <c r="F133" s="361"/>
      <c r="G133" s="361"/>
      <c r="H133" s="361"/>
      <c r="I133" s="361"/>
      <c r="J133" s="361">
        <v>40000</v>
      </c>
      <c r="K133" s="361">
        <v>40000</v>
      </c>
      <c r="L133" s="361">
        <v>27444.720000000001</v>
      </c>
      <c r="M133" s="361">
        <v>27444.720000000001</v>
      </c>
      <c r="N133" s="362">
        <v>27444.720000000001</v>
      </c>
      <c r="O133" s="362">
        <v>27444.720000000001</v>
      </c>
      <c r="P133" s="363">
        <v>42735</v>
      </c>
      <c r="Q133" s="356">
        <v>1</v>
      </c>
      <c r="R133" s="357">
        <v>1</v>
      </c>
      <c r="S133" s="362">
        <v>0</v>
      </c>
      <c r="T133" s="362">
        <v>27444.720000000001</v>
      </c>
      <c r="U133" s="362">
        <v>0</v>
      </c>
      <c r="V133" s="362"/>
      <c r="W133" s="359">
        <f t="shared" si="2"/>
        <v>0</v>
      </c>
      <c r="X133" s="350" t="s">
        <v>599</v>
      </c>
      <c r="Y133" s="362"/>
      <c r="Z133" s="362"/>
      <c r="AA133" s="359"/>
      <c r="AB133" s="350"/>
    </row>
    <row r="134" spans="1:28" s="149" customFormat="1" ht="89.25">
      <c r="A134" s="349">
        <f t="shared" ca="1" si="4"/>
        <v>129</v>
      </c>
      <c r="B134" s="350" t="s">
        <v>1377</v>
      </c>
      <c r="C134" s="360" t="s">
        <v>1378</v>
      </c>
      <c r="D134" s="360" t="s">
        <v>1379</v>
      </c>
      <c r="E134" s="352" t="s">
        <v>1011</v>
      </c>
      <c r="F134" s="361"/>
      <c r="G134" s="361"/>
      <c r="H134" s="361"/>
      <c r="I134" s="361"/>
      <c r="J134" s="361"/>
      <c r="K134" s="361">
        <v>14000</v>
      </c>
      <c r="L134" s="361">
        <v>11823.16</v>
      </c>
      <c r="M134" s="361">
        <f>11823.16+4128.57</f>
        <v>15951.73</v>
      </c>
      <c r="N134" s="362">
        <f>11823.16+4128.57</f>
        <v>15951.73</v>
      </c>
      <c r="O134" s="362">
        <f>11823.16+4128.57</f>
        <v>15951.73</v>
      </c>
      <c r="P134" s="363">
        <v>42826</v>
      </c>
      <c r="Q134" s="356">
        <v>1</v>
      </c>
      <c r="R134" s="357">
        <v>1</v>
      </c>
      <c r="S134" s="362"/>
      <c r="T134" s="358">
        <v>15951.73</v>
      </c>
      <c r="U134" s="362"/>
      <c r="V134" s="358"/>
      <c r="W134" s="359">
        <f t="shared" ref="W134:W165" si="5">O134-S134-T134</f>
        <v>0</v>
      </c>
      <c r="X134" s="350" t="s">
        <v>599</v>
      </c>
      <c r="Y134" s="362"/>
      <c r="Z134" s="358"/>
      <c r="AA134" s="359"/>
      <c r="AB134" s="350"/>
    </row>
    <row r="135" spans="1:28" s="149" customFormat="1" ht="76.5">
      <c r="A135" s="349">
        <f t="shared" ca="1" si="4"/>
        <v>130</v>
      </c>
      <c r="B135" s="350" t="s">
        <v>1380</v>
      </c>
      <c r="C135" s="351" t="s">
        <v>1381</v>
      </c>
      <c r="D135" s="360" t="s">
        <v>1382</v>
      </c>
      <c r="E135" s="352" t="s">
        <v>1011</v>
      </c>
      <c r="F135" s="361"/>
      <c r="G135" s="361"/>
      <c r="H135" s="361"/>
      <c r="I135" s="361"/>
      <c r="J135" s="361"/>
      <c r="K135" s="361"/>
      <c r="L135" s="365">
        <v>24500</v>
      </c>
      <c r="M135" s="365">
        <v>24500</v>
      </c>
      <c r="N135" s="375">
        <v>19420.55</v>
      </c>
      <c r="O135" s="375">
        <v>19420.55</v>
      </c>
      <c r="P135" s="363">
        <v>42835</v>
      </c>
      <c r="Q135" s="356">
        <v>1</v>
      </c>
      <c r="R135" s="357">
        <v>1</v>
      </c>
      <c r="S135" s="362">
        <v>0</v>
      </c>
      <c r="T135" s="362">
        <v>19420.55</v>
      </c>
      <c r="U135" s="362">
        <v>0</v>
      </c>
      <c r="V135" s="362"/>
      <c r="W135" s="359">
        <f t="shared" si="5"/>
        <v>0</v>
      </c>
      <c r="X135" s="350" t="s">
        <v>599</v>
      </c>
      <c r="Y135" s="362"/>
      <c r="Z135" s="362"/>
      <c r="AA135" s="359"/>
      <c r="AB135" s="350"/>
    </row>
    <row r="136" spans="1:28" s="149" customFormat="1" ht="76.5">
      <c r="A136" s="349">
        <f t="shared" ca="1" si="4"/>
        <v>131</v>
      </c>
      <c r="B136" s="349" t="s">
        <v>1383</v>
      </c>
      <c r="C136" s="360" t="s">
        <v>1384</v>
      </c>
      <c r="D136" s="360" t="s">
        <v>1385</v>
      </c>
      <c r="E136" s="352" t="s">
        <v>1011</v>
      </c>
      <c r="F136" s="361"/>
      <c r="G136" s="361"/>
      <c r="H136" s="361"/>
      <c r="I136" s="361"/>
      <c r="J136" s="361"/>
      <c r="K136" s="361"/>
      <c r="L136" s="365">
        <v>7000</v>
      </c>
      <c r="M136" s="365">
        <v>7000</v>
      </c>
      <c r="N136" s="375">
        <v>15366</v>
      </c>
      <c r="O136" s="375">
        <v>15366</v>
      </c>
      <c r="P136" s="363">
        <v>42916</v>
      </c>
      <c r="Q136" s="356">
        <v>1</v>
      </c>
      <c r="R136" s="357">
        <v>1</v>
      </c>
      <c r="S136" s="358">
        <v>0</v>
      </c>
      <c r="T136" s="358">
        <v>15366</v>
      </c>
      <c r="U136" s="358">
        <v>0</v>
      </c>
      <c r="V136" s="358"/>
      <c r="W136" s="359">
        <f t="shared" si="5"/>
        <v>0</v>
      </c>
      <c r="X136" s="350" t="s">
        <v>599</v>
      </c>
      <c r="Y136" s="358"/>
      <c r="Z136" s="358"/>
      <c r="AA136" s="359"/>
      <c r="AB136" s="350"/>
    </row>
    <row r="137" spans="1:28" s="149" customFormat="1" ht="102">
      <c r="A137" s="349">
        <f t="shared" ca="1" si="4"/>
        <v>132</v>
      </c>
      <c r="B137" s="350" t="s">
        <v>1386</v>
      </c>
      <c r="C137" s="351" t="s">
        <v>1387</v>
      </c>
      <c r="D137" s="360" t="s">
        <v>1388</v>
      </c>
      <c r="E137" s="352" t="s">
        <v>1011</v>
      </c>
      <c r="F137" s="361"/>
      <c r="G137" s="361"/>
      <c r="H137" s="361"/>
      <c r="I137" s="361"/>
      <c r="J137" s="361"/>
      <c r="K137" s="361"/>
      <c r="L137" s="361">
        <v>38296</v>
      </c>
      <c r="M137" s="361">
        <v>39448</v>
      </c>
      <c r="N137" s="362">
        <v>39448</v>
      </c>
      <c r="O137" s="362">
        <v>39448</v>
      </c>
      <c r="P137" s="363">
        <v>43115</v>
      </c>
      <c r="Q137" s="356">
        <v>1</v>
      </c>
      <c r="R137" s="357">
        <v>0.5</v>
      </c>
      <c r="S137" s="358">
        <v>39448</v>
      </c>
      <c r="T137" s="358">
        <v>0</v>
      </c>
      <c r="U137" s="358"/>
      <c r="V137" s="358">
        <v>0</v>
      </c>
      <c r="W137" s="359">
        <f t="shared" si="5"/>
        <v>0</v>
      </c>
      <c r="X137" s="350" t="s">
        <v>599</v>
      </c>
      <c r="Y137" s="358"/>
      <c r="Z137" s="358"/>
      <c r="AA137" s="359"/>
      <c r="AB137" s="350"/>
    </row>
    <row r="138" spans="1:28" s="149" customFormat="1" ht="89.25">
      <c r="A138" s="349">
        <f t="shared" ca="1" si="4"/>
        <v>133</v>
      </c>
      <c r="B138" s="349" t="s">
        <v>1389</v>
      </c>
      <c r="C138" s="368" t="s">
        <v>1390</v>
      </c>
      <c r="D138" s="360" t="s">
        <v>1391</v>
      </c>
      <c r="E138" s="352" t="s">
        <v>1011</v>
      </c>
      <c r="F138" s="361"/>
      <c r="G138" s="361"/>
      <c r="H138" s="361"/>
      <c r="I138" s="361"/>
      <c r="J138" s="361"/>
      <c r="K138" s="361"/>
      <c r="L138" s="361">
        <v>350000</v>
      </c>
      <c r="M138" s="361">
        <v>350000</v>
      </c>
      <c r="N138" s="362">
        <v>350000</v>
      </c>
      <c r="O138" s="362">
        <v>350000</v>
      </c>
      <c r="P138" s="355" t="s">
        <v>1029</v>
      </c>
      <c r="Q138" s="356">
        <v>1</v>
      </c>
      <c r="R138" s="357">
        <v>0</v>
      </c>
      <c r="S138" s="358">
        <v>0</v>
      </c>
      <c r="T138" s="358">
        <v>350000</v>
      </c>
      <c r="U138" s="358">
        <v>0</v>
      </c>
      <c r="V138" s="358"/>
      <c r="W138" s="359">
        <f t="shared" si="5"/>
        <v>0</v>
      </c>
      <c r="X138" s="350" t="s">
        <v>599</v>
      </c>
      <c r="Y138" s="358"/>
      <c r="Z138" s="358"/>
      <c r="AA138" s="359"/>
      <c r="AB138" s="350"/>
    </row>
    <row r="139" spans="1:28" s="149" customFormat="1" ht="89.25">
      <c r="A139" s="349">
        <f t="shared" ca="1" si="4"/>
        <v>134</v>
      </c>
      <c r="B139" s="349" t="s">
        <v>1392</v>
      </c>
      <c r="C139" s="368" t="s">
        <v>1393</v>
      </c>
      <c r="D139" s="360" t="s">
        <v>1394</v>
      </c>
      <c r="E139" s="352" t="s">
        <v>1011</v>
      </c>
      <c r="F139" s="361"/>
      <c r="G139" s="361"/>
      <c r="H139" s="361"/>
      <c r="I139" s="361"/>
      <c r="J139" s="361"/>
      <c r="K139" s="361"/>
      <c r="L139" s="361">
        <v>350000</v>
      </c>
      <c r="M139" s="361">
        <v>350000</v>
      </c>
      <c r="N139" s="362">
        <v>350000</v>
      </c>
      <c r="O139" s="362">
        <v>350000</v>
      </c>
      <c r="P139" s="355" t="s">
        <v>1029</v>
      </c>
      <c r="Q139" s="356">
        <v>1</v>
      </c>
      <c r="R139" s="357">
        <v>0</v>
      </c>
      <c r="S139" s="358">
        <v>0</v>
      </c>
      <c r="T139" s="358">
        <v>350000</v>
      </c>
      <c r="U139" s="358">
        <v>0</v>
      </c>
      <c r="V139" s="358"/>
      <c r="W139" s="359">
        <f t="shared" si="5"/>
        <v>0</v>
      </c>
      <c r="X139" s="350" t="s">
        <v>599</v>
      </c>
      <c r="Y139" s="358"/>
      <c r="Z139" s="358"/>
      <c r="AA139" s="359"/>
      <c r="AB139" s="350"/>
    </row>
    <row r="140" spans="1:28" s="149" customFormat="1" ht="102">
      <c r="A140" s="349">
        <f t="shared" ca="1" si="4"/>
        <v>135</v>
      </c>
      <c r="B140" s="350" t="s">
        <v>1395</v>
      </c>
      <c r="C140" s="351" t="s">
        <v>1396</v>
      </c>
      <c r="D140" s="360" t="s">
        <v>1397</v>
      </c>
      <c r="E140" s="352" t="s">
        <v>1011</v>
      </c>
      <c r="F140" s="361"/>
      <c r="G140" s="361"/>
      <c r="H140" s="361"/>
      <c r="I140" s="361"/>
      <c r="J140" s="361"/>
      <c r="K140" s="361"/>
      <c r="L140" s="365">
        <v>20000</v>
      </c>
      <c r="M140" s="365">
        <v>39448</v>
      </c>
      <c r="N140" s="375">
        <v>15359.5</v>
      </c>
      <c r="O140" s="375">
        <v>15359.5</v>
      </c>
      <c r="P140" s="363">
        <v>43131</v>
      </c>
      <c r="Q140" s="356">
        <v>1</v>
      </c>
      <c r="R140" s="357">
        <v>0.2</v>
      </c>
      <c r="S140" s="362"/>
      <c r="T140" s="358">
        <v>15359.5</v>
      </c>
      <c r="U140" s="362"/>
      <c r="V140" s="358"/>
      <c r="W140" s="359">
        <f t="shared" si="5"/>
        <v>0</v>
      </c>
      <c r="X140" s="350" t="s">
        <v>599</v>
      </c>
      <c r="Y140" s="362"/>
      <c r="Z140" s="358"/>
      <c r="AA140" s="359"/>
      <c r="AB140" s="350"/>
    </row>
    <row r="141" spans="1:28" s="149" customFormat="1" ht="76.5">
      <c r="A141" s="349">
        <f t="shared" ca="1" si="4"/>
        <v>136</v>
      </c>
      <c r="B141" s="544" t="s">
        <v>1398</v>
      </c>
      <c r="C141" s="360" t="s">
        <v>1399</v>
      </c>
      <c r="D141" s="360" t="s">
        <v>1400</v>
      </c>
      <c r="E141" s="352" t="s">
        <v>1011</v>
      </c>
      <c r="F141" s="376"/>
      <c r="G141" s="361"/>
      <c r="H141" s="361"/>
      <c r="I141" s="361"/>
      <c r="J141" s="377"/>
      <c r="K141" s="378"/>
      <c r="L141" s="365">
        <v>215000</v>
      </c>
      <c r="M141" s="365">
        <v>212440</v>
      </c>
      <c r="N141" s="375">
        <v>176500</v>
      </c>
      <c r="O141" s="375">
        <v>176500</v>
      </c>
      <c r="P141" s="363">
        <v>39430</v>
      </c>
      <c r="Q141" s="356">
        <v>1</v>
      </c>
      <c r="R141" s="357">
        <v>0.99</v>
      </c>
      <c r="S141" s="358">
        <v>176500</v>
      </c>
      <c r="T141" s="358"/>
      <c r="U141" s="358"/>
      <c r="V141" s="358"/>
      <c r="W141" s="359">
        <f t="shared" si="5"/>
        <v>0</v>
      </c>
      <c r="X141" s="350" t="s">
        <v>599</v>
      </c>
      <c r="Y141" s="545"/>
      <c r="Z141" s="358"/>
      <c r="AA141" s="359"/>
      <c r="AB141" s="350"/>
    </row>
    <row r="142" spans="1:28" s="149" customFormat="1" ht="102">
      <c r="A142" s="349">
        <f t="shared" ca="1" si="4"/>
        <v>137</v>
      </c>
      <c r="B142" s="350" t="s">
        <v>1380</v>
      </c>
      <c r="C142" s="351" t="s">
        <v>1401</v>
      </c>
      <c r="D142" s="360" t="s">
        <v>1402</v>
      </c>
      <c r="E142" s="352" t="s">
        <v>1011</v>
      </c>
      <c r="F142" s="361"/>
      <c r="G142" s="361"/>
      <c r="H142" s="361"/>
      <c r="I142" s="361"/>
      <c r="J142" s="361"/>
      <c r="K142" s="361"/>
      <c r="L142" s="365">
        <v>25000</v>
      </c>
      <c r="M142" s="365">
        <v>22698.52</v>
      </c>
      <c r="N142" s="375">
        <v>22698.52</v>
      </c>
      <c r="O142" s="375">
        <v>22698.52</v>
      </c>
      <c r="P142" s="363">
        <v>43131</v>
      </c>
      <c r="Q142" s="356">
        <v>1</v>
      </c>
      <c r="R142" s="357">
        <v>0.1</v>
      </c>
      <c r="S142" s="362"/>
      <c r="T142" s="358">
        <v>22698.52</v>
      </c>
      <c r="U142" s="362"/>
      <c r="V142" s="358"/>
      <c r="W142" s="359">
        <f t="shared" si="5"/>
        <v>0</v>
      </c>
      <c r="X142" s="350" t="s">
        <v>599</v>
      </c>
      <c r="Y142" s="362"/>
      <c r="Z142" s="358"/>
      <c r="AA142" s="359"/>
      <c r="AB142" s="350"/>
    </row>
    <row r="143" spans="1:28" s="149" customFormat="1" ht="63.75">
      <c r="A143" s="349">
        <f t="shared" ca="1" si="4"/>
        <v>138</v>
      </c>
      <c r="B143" s="372" t="s">
        <v>1403</v>
      </c>
      <c r="C143" s="360" t="s">
        <v>1404</v>
      </c>
      <c r="D143" s="360" t="s">
        <v>1405</v>
      </c>
      <c r="E143" s="352" t="s">
        <v>1011</v>
      </c>
      <c r="F143" s="361"/>
      <c r="G143" s="361"/>
      <c r="H143" s="361"/>
      <c r="I143" s="361"/>
      <c r="J143" s="361"/>
      <c r="K143" s="361"/>
      <c r="L143" s="361">
        <v>60000</v>
      </c>
      <c r="M143" s="361">
        <v>60000</v>
      </c>
      <c r="N143" s="362">
        <v>36750</v>
      </c>
      <c r="O143" s="362">
        <v>36750</v>
      </c>
      <c r="P143" s="363">
        <v>42947</v>
      </c>
      <c r="Q143" s="356">
        <v>1</v>
      </c>
      <c r="R143" s="357">
        <v>1</v>
      </c>
      <c r="S143" s="358">
        <v>0</v>
      </c>
      <c r="T143" s="358">
        <v>36750</v>
      </c>
      <c r="U143" s="358">
        <v>0</v>
      </c>
      <c r="V143" s="358"/>
      <c r="W143" s="359">
        <f t="shared" si="5"/>
        <v>0</v>
      </c>
      <c r="X143" s="350" t="s">
        <v>599</v>
      </c>
      <c r="Y143" s="358"/>
      <c r="Z143" s="358"/>
      <c r="AA143" s="359"/>
      <c r="AB143" s="350"/>
    </row>
    <row r="144" spans="1:28" s="149" customFormat="1" ht="51">
      <c r="A144" s="349">
        <f t="shared" ca="1" si="4"/>
        <v>139</v>
      </c>
      <c r="B144" s="372" t="s">
        <v>1406</v>
      </c>
      <c r="C144" s="360" t="s">
        <v>1407</v>
      </c>
      <c r="D144" s="360" t="s">
        <v>1408</v>
      </c>
      <c r="E144" s="352" t="s">
        <v>1011</v>
      </c>
      <c r="F144" s="361"/>
      <c r="G144" s="361"/>
      <c r="H144" s="361"/>
      <c r="I144" s="361"/>
      <c r="J144" s="361"/>
      <c r="K144" s="361"/>
      <c r="L144" s="361"/>
      <c r="M144" s="361">
        <v>28875</v>
      </c>
      <c r="N144" s="362">
        <v>28875</v>
      </c>
      <c r="O144" s="362">
        <v>28875</v>
      </c>
      <c r="P144" s="363">
        <v>42948</v>
      </c>
      <c r="Q144" s="356">
        <v>1</v>
      </c>
      <c r="R144" s="357">
        <v>1</v>
      </c>
      <c r="S144" s="358">
        <v>0</v>
      </c>
      <c r="T144" s="358">
        <v>28875</v>
      </c>
      <c r="U144" s="358">
        <v>0</v>
      </c>
      <c r="V144" s="358"/>
      <c r="W144" s="359">
        <f t="shared" si="5"/>
        <v>0</v>
      </c>
      <c r="X144" s="350" t="s">
        <v>599</v>
      </c>
      <c r="Y144" s="358"/>
      <c r="Z144" s="358"/>
      <c r="AA144" s="359"/>
      <c r="AB144" s="350"/>
    </row>
    <row r="145" spans="1:28" s="149" customFormat="1" ht="102">
      <c r="A145" s="349">
        <f t="shared" ca="1" si="4"/>
        <v>140</v>
      </c>
      <c r="B145" s="372" t="s">
        <v>1409</v>
      </c>
      <c r="C145" s="360" t="s">
        <v>1410</v>
      </c>
      <c r="D145" s="360" t="s">
        <v>1411</v>
      </c>
      <c r="E145" s="352" t="s">
        <v>1011</v>
      </c>
      <c r="F145" s="361"/>
      <c r="G145" s="361"/>
      <c r="H145" s="361"/>
      <c r="I145" s="361"/>
      <c r="J145" s="361"/>
      <c r="K145" s="361"/>
      <c r="L145" s="361"/>
      <c r="M145" s="361">
        <v>50000</v>
      </c>
      <c r="N145" s="362">
        <v>48159.69</v>
      </c>
      <c r="O145" s="362">
        <v>48159.69</v>
      </c>
      <c r="P145" s="363">
        <v>43159</v>
      </c>
      <c r="Q145" s="356">
        <v>1</v>
      </c>
      <c r="R145" s="357">
        <v>0.95</v>
      </c>
      <c r="S145" s="358">
        <v>48159.69</v>
      </c>
      <c r="T145" s="358"/>
      <c r="U145" s="358"/>
      <c r="V145" s="358"/>
      <c r="W145" s="359">
        <f t="shared" si="5"/>
        <v>0</v>
      </c>
      <c r="X145" s="350" t="s">
        <v>599</v>
      </c>
      <c r="Y145" s="358"/>
      <c r="Z145" s="358"/>
      <c r="AA145" s="359"/>
      <c r="AB145" s="350"/>
    </row>
    <row r="146" spans="1:28" s="149" customFormat="1" ht="89.25">
      <c r="A146" s="349">
        <f t="shared" ca="1" si="4"/>
        <v>141</v>
      </c>
      <c r="B146" s="372" t="s">
        <v>1412</v>
      </c>
      <c r="C146" s="360" t="s">
        <v>1413</v>
      </c>
      <c r="D146" s="360" t="s">
        <v>1414</v>
      </c>
      <c r="E146" s="352" t="s">
        <v>1011</v>
      </c>
      <c r="F146" s="361"/>
      <c r="G146" s="361"/>
      <c r="H146" s="361"/>
      <c r="I146" s="361"/>
      <c r="J146" s="361"/>
      <c r="K146" s="361"/>
      <c r="L146" s="361"/>
      <c r="M146" s="361">
        <v>15000</v>
      </c>
      <c r="N146" s="362">
        <v>14690</v>
      </c>
      <c r="O146" s="362">
        <v>14690</v>
      </c>
      <c r="P146" s="363">
        <v>42747</v>
      </c>
      <c r="Q146" s="356">
        <v>1</v>
      </c>
      <c r="R146" s="357">
        <v>1</v>
      </c>
      <c r="S146" s="358">
        <v>0</v>
      </c>
      <c r="T146" s="358">
        <v>14690</v>
      </c>
      <c r="U146" s="358">
        <v>0</v>
      </c>
      <c r="V146" s="358"/>
      <c r="W146" s="359">
        <f t="shared" si="5"/>
        <v>0</v>
      </c>
      <c r="X146" s="350" t="s">
        <v>599</v>
      </c>
      <c r="Y146" s="358"/>
      <c r="Z146" s="358"/>
      <c r="AA146" s="359"/>
      <c r="AB146" s="350"/>
    </row>
    <row r="147" spans="1:28" s="149" customFormat="1" ht="102">
      <c r="A147" s="349">
        <f t="shared" ca="1" si="4"/>
        <v>142</v>
      </c>
      <c r="B147" s="372" t="s">
        <v>1415</v>
      </c>
      <c r="C147" s="360" t="s">
        <v>1416</v>
      </c>
      <c r="D147" s="360" t="s">
        <v>1417</v>
      </c>
      <c r="E147" s="352" t="s">
        <v>1011</v>
      </c>
      <c r="F147" s="361"/>
      <c r="G147" s="361"/>
      <c r="H147" s="361"/>
      <c r="I147" s="361"/>
      <c r="J147" s="361"/>
      <c r="K147" s="361"/>
      <c r="L147" s="361"/>
      <c r="M147" s="361">
        <v>105000</v>
      </c>
      <c r="N147" s="362">
        <v>105000</v>
      </c>
      <c r="O147" s="362">
        <v>105000</v>
      </c>
      <c r="P147" s="363" t="s">
        <v>1029</v>
      </c>
      <c r="Q147" s="356">
        <v>0</v>
      </c>
      <c r="R147" s="357">
        <v>0</v>
      </c>
      <c r="S147" s="358">
        <v>0</v>
      </c>
      <c r="T147" s="358">
        <v>105000</v>
      </c>
      <c r="U147" s="358">
        <v>0</v>
      </c>
      <c r="V147" s="358"/>
      <c r="W147" s="359">
        <f t="shared" si="5"/>
        <v>0</v>
      </c>
      <c r="X147" s="350" t="s">
        <v>599</v>
      </c>
      <c r="Y147" s="358"/>
      <c r="Z147" s="358"/>
      <c r="AA147" s="359"/>
      <c r="AB147" s="350"/>
    </row>
    <row r="148" spans="1:28" s="149" customFormat="1" ht="114.75">
      <c r="A148" s="349">
        <f t="shared" ca="1" si="4"/>
        <v>143</v>
      </c>
      <c r="B148" s="372" t="s">
        <v>1418</v>
      </c>
      <c r="C148" s="360" t="s">
        <v>1419</v>
      </c>
      <c r="D148" s="360" t="s">
        <v>1420</v>
      </c>
      <c r="E148" s="352" t="s">
        <v>1011</v>
      </c>
      <c r="F148" s="361"/>
      <c r="G148" s="361"/>
      <c r="H148" s="361"/>
      <c r="I148" s="361"/>
      <c r="J148" s="361"/>
      <c r="K148" s="361"/>
      <c r="L148" s="361"/>
      <c r="M148" s="361">
        <v>9585</v>
      </c>
      <c r="N148" s="362">
        <v>9585</v>
      </c>
      <c r="O148" s="362">
        <v>9585</v>
      </c>
      <c r="P148" s="363">
        <v>42859</v>
      </c>
      <c r="Q148" s="356">
        <v>1</v>
      </c>
      <c r="R148" s="357">
        <v>1</v>
      </c>
      <c r="S148" s="358">
        <v>0</v>
      </c>
      <c r="T148" s="358">
        <v>9585</v>
      </c>
      <c r="U148" s="358">
        <v>0</v>
      </c>
      <c r="V148" s="358"/>
      <c r="W148" s="359">
        <f t="shared" si="5"/>
        <v>0</v>
      </c>
      <c r="X148" s="350" t="s">
        <v>599</v>
      </c>
      <c r="Y148" s="358"/>
      <c r="Z148" s="358"/>
      <c r="AA148" s="359"/>
      <c r="AB148" s="350"/>
    </row>
    <row r="149" spans="1:28" s="149" customFormat="1" ht="76.5">
      <c r="A149" s="349">
        <f t="shared" ca="1" si="4"/>
        <v>144</v>
      </c>
      <c r="B149" s="372" t="s">
        <v>1421</v>
      </c>
      <c r="C149" s="360" t="s">
        <v>1422</v>
      </c>
      <c r="D149" s="360" t="s">
        <v>1423</v>
      </c>
      <c r="E149" s="352" t="s">
        <v>1011</v>
      </c>
      <c r="F149" s="361"/>
      <c r="G149" s="361"/>
      <c r="H149" s="361"/>
      <c r="I149" s="361"/>
      <c r="J149" s="361"/>
      <c r="K149" s="361"/>
      <c r="L149" s="361"/>
      <c r="M149" s="361">
        <v>7124</v>
      </c>
      <c r="N149" s="362">
        <v>12720</v>
      </c>
      <c r="O149" s="362">
        <v>12720</v>
      </c>
      <c r="P149" s="363">
        <v>43011</v>
      </c>
      <c r="Q149" s="356">
        <v>1</v>
      </c>
      <c r="R149" s="357">
        <v>1</v>
      </c>
      <c r="S149" s="358"/>
      <c r="T149" s="358">
        <v>12720</v>
      </c>
      <c r="U149" s="358"/>
      <c r="V149" s="358"/>
      <c r="W149" s="359">
        <f t="shared" si="5"/>
        <v>0</v>
      </c>
      <c r="X149" s="350" t="s">
        <v>599</v>
      </c>
      <c r="Y149" s="358"/>
      <c r="Z149" s="358"/>
      <c r="AA149" s="359"/>
      <c r="AB149" s="350"/>
    </row>
    <row r="150" spans="1:28" s="149" customFormat="1" ht="89.25">
      <c r="A150" s="349">
        <f t="shared" ca="1" si="4"/>
        <v>145</v>
      </c>
      <c r="B150" s="372" t="s">
        <v>1424</v>
      </c>
      <c r="C150" s="360" t="s">
        <v>1425</v>
      </c>
      <c r="D150" s="360" t="s">
        <v>1426</v>
      </c>
      <c r="E150" s="352" t="s">
        <v>1011</v>
      </c>
      <c r="F150" s="361"/>
      <c r="G150" s="361"/>
      <c r="H150" s="361"/>
      <c r="I150" s="361"/>
      <c r="J150" s="361"/>
      <c r="K150" s="361"/>
      <c r="L150" s="361"/>
      <c r="M150" s="361">
        <v>30000</v>
      </c>
      <c r="N150" s="362">
        <v>44989.61</v>
      </c>
      <c r="O150" s="362">
        <v>44989.61</v>
      </c>
      <c r="P150" s="363">
        <v>43115</v>
      </c>
      <c r="Q150" s="356">
        <v>1</v>
      </c>
      <c r="R150" s="357">
        <v>0.9</v>
      </c>
      <c r="S150" s="358">
        <v>44989.61</v>
      </c>
      <c r="T150" s="358"/>
      <c r="U150" s="358"/>
      <c r="V150" s="358"/>
      <c r="W150" s="359">
        <f t="shared" si="5"/>
        <v>0</v>
      </c>
      <c r="X150" s="350" t="s">
        <v>599</v>
      </c>
      <c r="Y150" s="358"/>
      <c r="Z150" s="358"/>
      <c r="AA150" s="359"/>
      <c r="AB150" s="350"/>
    </row>
    <row r="151" spans="1:28" s="149" customFormat="1" ht="102">
      <c r="A151" s="349">
        <f t="shared" ca="1" si="4"/>
        <v>146</v>
      </c>
      <c r="B151" s="372" t="s">
        <v>1427</v>
      </c>
      <c r="C151" s="360" t="s">
        <v>1428</v>
      </c>
      <c r="D151" s="360" t="s">
        <v>1429</v>
      </c>
      <c r="E151" s="352" t="s">
        <v>1011</v>
      </c>
      <c r="F151" s="361"/>
      <c r="G151" s="361"/>
      <c r="H151" s="361"/>
      <c r="I151" s="361"/>
      <c r="J151" s="361"/>
      <c r="K151" s="361"/>
      <c r="L151" s="361"/>
      <c r="M151" s="361"/>
      <c r="N151" s="362">
        <v>3000</v>
      </c>
      <c r="O151" s="362">
        <v>3000</v>
      </c>
      <c r="P151" s="363">
        <v>42976</v>
      </c>
      <c r="Q151" s="356">
        <v>1</v>
      </c>
      <c r="R151" s="357">
        <v>1</v>
      </c>
      <c r="S151" s="358">
        <v>0</v>
      </c>
      <c r="T151" s="358">
        <v>3000</v>
      </c>
      <c r="U151" s="358">
        <v>0</v>
      </c>
      <c r="V151" s="358"/>
      <c r="W151" s="359">
        <f t="shared" si="5"/>
        <v>0</v>
      </c>
      <c r="X151" s="350" t="s">
        <v>599</v>
      </c>
      <c r="Y151" s="358"/>
      <c r="Z151" s="358"/>
      <c r="AA151" s="359"/>
      <c r="AB151" s="350"/>
    </row>
    <row r="152" spans="1:28" s="149" customFormat="1" ht="89.25">
      <c r="A152" s="349">
        <f t="shared" ca="1" si="4"/>
        <v>147</v>
      </c>
      <c r="B152" s="372" t="s">
        <v>1374</v>
      </c>
      <c r="C152" s="360" t="s">
        <v>1375</v>
      </c>
      <c r="D152" s="360" t="s">
        <v>1430</v>
      </c>
      <c r="E152" s="352" t="s">
        <v>1011</v>
      </c>
      <c r="F152" s="361"/>
      <c r="G152" s="361"/>
      <c r="H152" s="361"/>
      <c r="I152" s="361"/>
      <c r="J152" s="361"/>
      <c r="K152" s="361"/>
      <c r="L152" s="361"/>
      <c r="M152" s="361">
        <v>50000</v>
      </c>
      <c r="N152" s="362">
        <v>51900</v>
      </c>
      <c r="O152" s="362">
        <v>51900</v>
      </c>
      <c r="P152" s="363">
        <v>43131</v>
      </c>
      <c r="Q152" s="356">
        <v>1</v>
      </c>
      <c r="R152" s="357">
        <v>0.95</v>
      </c>
      <c r="S152" s="358">
        <v>51900</v>
      </c>
      <c r="T152" s="358">
        <v>0</v>
      </c>
      <c r="U152" s="358"/>
      <c r="V152" s="358">
        <v>0</v>
      </c>
      <c r="W152" s="359">
        <f t="shared" si="5"/>
        <v>0</v>
      </c>
      <c r="X152" s="350" t="s">
        <v>599</v>
      </c>
      <c r="Y152" s="358"/>
      <c r="Z152" s="358"/>
      <c r="AA152" s="359"/>
      <c r="AB152" s="350"/>
    </row>
    <row r="153" spans="1:28" s="149" customFormat="1" ht="63.75" customHeight="1">
      <c r="A153" s="349">
        <f t="shared" ca="1" si="4"/>
        <v>148</v>
      </c>
      <c r="B153" s="350" t="s">
        <v>1380</v>
      </c>
      <c r="C153" s="351" t="s">
        <v>1431</v>
      </c>
      <c r="D153" s="360" t="s">
        <v>1432</v>
      </c>
      <c r="E153" s="352" t="s">
        <v>1011</v>
      </c>
      <c r="F153" s="361"/>
      <c r="G153" s="361"/>
      <c r="H153" s="361"/>
      <c r="I153" s="361"/>
      <c r="J153" s="361"/>
      <c r="K153" s="361"/>
      <c r="L153" s="361"/>
      <c r="M153" s="361"/>
      <c r="N153" s="362">
        <v>17386.93</v>
      </c>
      <c r="O153" s="362">
        <v>17386.93</v>
      </c>
      <c r="P153" s="363">
        <v>43190</v>
      </c>
      <c r="Q153" s="356">
        <v>1</v>
      </c>
      <c r="R153" s="357">
        <v>0.2</v>
      </c>
      <c r="S153" s="358"/>
      <c r="T153" s="358">
        <v>17386.93</v>
      </c>
      <c r="U153" s="358"/>
      <c r="V153" s="358">
        <v>0</v>
      </c>
      <c r="W153" s="359">
        <f t="shared" si="5"/>
        <v>0</v>
      </c>
      <c r="X153" s="350" t="s">
        <v>599</v>
      </c>
      <c r="Y153" s="358"/>
      <c r="Z153" s="358"/>
      <c r="AA153" s="359"/>
      <c r="AB153" s="350"/>
    </row>
    <row r="154" spans="1:28" s="149" customFormat="1" ht="63.75">
      <c r="A154" s="349">
        <f t="shared" ca="1" si="4"/>
        <v>149</v>
      </c>
      <c r="B154" s="350" t="s">
        <v>1433</v>
      </c>
      <c r="C154" s="351" t="s">
        <v>1434</v>
      </c>
      <c r="D154" s="360" t="s">
        <v>1435</v>
      </c>
      <c r="E154" s="352" t="s">
        <v>1011</v>
      </c>
      <c r="F154" s="361"/>
      <c r="G154" s="361"/>
      <c r="H154" s="361"/>
      <c r="I154" s="361"/>
      <c r="J154" s="361"/>
      <c r="K154" s="361"/>
      <c r="L154" s="361"/>
      <c r="M154" s="361"/>
      <c r="N154" s="362">
        <v>9534</v>
      </c>
      <c r="O154" s="362">
        <v>9534</v>
      </c>
      <c r="P154" s="363">
        <v>42977</v>
      </c>
      <c r="Q154" s="356">
        <v>1</v>
      </c>
      <c r="R154" s="357">
        <v>1</v>
      </c>
      <c r="S154" s="365"/>
      <c r="T154" s="365">
        <v>9534</v>
      </c>
      <c r="U154" s="365"/>
      <c r="V154" s="365"/>
      <c r="W154" s="359">
        <f t="shared" si="5"/>
        <v>0</v>
      </c>
      <c r="X154" s="350" t="s">
        <v>599</v>
      </c>
      <c r="Y154" s="365"/>
      <c r="Z154" s="365"/>
      <c r="AA154" s="359"/>
      <c r="AB154" s="350"/>
    </row>
    <row r="155" spans="1:28" s="149" customFormat="1" ht="76.5">
      <c r="A155" s="349">
        <f t="shared" ca="1" si="4"/>
        <v>150</v>
      </c>
      <c r="B155" s="350" t="s">
        <v>1436</v>
      </c>
      <c r="C155" s="368" t="s">
        <v>1437</v>
      </c>
      <c r="D155" s="360" t="s">
        <v>1438</v>
      </c>
      <c r="E155" s="352" t="s">
        <v>1011</v>
      </c>
      <c r="F155" s="361"/>
      <c r="G155" s="361"/>
      <c r="H155" s="361"/>
      <c r="I155" s="361"/>
      <c r="J155" s="361"/>
      <c r="K155" s="361"/>
      <c r="L155" s="361"/>
      <c r="M155" s="361"/>
      <c r="N155" s="362">
        <v>52000</v>
      </c>
      <c r="O155" s="362">
        <v>52000</v>
      </c>
      <c r="P155" s="363">
        <v>43020</v>
      </c>
      <c r="Q155" s="356">
        <v>1</v>
      </c>
      <c r="R155" s="357">
        <v>1</v>
      </c>
      <c r="S155" s="358"/>
      <c r="T155" s="358">
        <v>52000</v>
      </c>
      <c r="U155" s="358"/>
      <c r="V155" s="358"/>
      <c r="W155" s="359">
        <f t="shared" si="5"/>
        <v>0</v>
      </c>
      <c r="X155" s="350" t="s">
        <v>599</v>
      </c>
      <c r="Y155" s="358"/>
      <c r="Z155" s="358"/>
      <c r="AA155" s="359"/>
      <c r="AB155" s="350"/>
    </row>
    <row r="156" spans="1:28" s="149" customFormat="1" ht="76.5">
      <c r="A156" s="349">
        <f t="shared" ca="1" si="4"/>
        <v>151</v>
      </c>
      <c r="B156" s="371" t="s">
        <v>1439</v>
      </c>
      <c r="C156" s="368" t="s">
        <v>1440</v>
      </c>
      <c r="D156" s="360" t="s">
        <v>1441</v>
      </c>
      <c r="E156" s="352" t="s">
        <v>1011</v>
      </c>
      <c r="F156" s="361"/>
      <c r="G156" s="361"/>
      <c r="H156" s="361"/>
      <c r="I156" s="361"/>
      <c r="J156" s="361"/>
      <c r="K156" s="361"/>
      <c r="L156" s="361"/>
      <c r="M156" s="361"/>
      <c r="N156" s="362">
        <v>100000</v>
      </c>
      <c r="O156" s="362">
        <v>100000</v>
      </c>
      <c r="P156" s="355" t="s">
        <v>1029</v>
      </c>
      <c r="Q156" s="356">
        <v>0</v>
      </c>
      <c r="R156" s="357">
        <v>0</v>
      </c>
      <c r="S156" s="358"/>
      <c r="T156" s="358">
        <v>100000</v>
      </c>
      <c r="U156" s="358"/>
      <c r="V156" s="358"/>
      <c r="W156" s="359">
        <f t="shared" si="5"/>
        <v>0</v>
      </c>
      <c r="X156" s="350" t="s">
        <v>599</v>
      </c>
      <c r="Y156" s="358"/>
      <c r="Z156" s="358"/>
      <c r="AA156" s="359"/>
      <c r="AB156" s="350"/>
    </row>
    <row r="157" spans="1:28" s="149" customFormat="1" ht="51">
      <c r="A157" s="349">
        <f t="shared" ca="1" si="4"/>
        <v>152</v>
      </c>
      <c r="B157" s="371" t="s">
        <v>1442</v>
      </c>
      <c r="C157" s="368" t="s">
        <v>1443</v>
      </c>
      <c r="D157" s="360" t="s">
        <v>1444</v>
      </c>
      <c r="E157" s="352" t="s">
        <v>1011</v>
      </c>
      <c r="F157" s="361"/>
      <c r="G157" s="361"/>
      <c r="H157" s="361"/>
      <c r="I157" s="361"/>
      <c r="J157" s="361"/>
      <c r="K157" s="361"/>
      <c r="L157" s="361"/>
      <c r="M157" s="361"/>
      <c r="N157" s="362">
        <v>240373</v>
      </c>
      <c r="O157" s="362">
        <v>240373</v>
      </c>
      <c r="P157" s="355" t="s">
        <v>1029</v>
      </c>
      <c r="Q157" s="356" t="s">
        <v>794</v>
      </c>
      <c r="R157" s="357" t="s">
        <v>794</v>
      </c>
      <c r="S157" s="358"/>
      <c r="T157" s="362">
        <v>240373</v>
      </c>
      <c r="U157" s="358"/>
      <c r="V157" s="362"/>
      <c r="W157" s="359">
        <f t="shared" si="5"/>
        <v>0</v>
      </c>
      <c r="X157" s="350" t="s">
        <v>599</v>
      </c>
      <c r="Y157" s="358"/>
      <c r="Z157" s="358"/>
      <c r="AA157" s="359"/>
      <c r="AB157" s="350"/>
    </row>
    <row r="158" spans="1:28" s="149" customFormat="1" ht="102">
      <c r="A158" s="349">
        <f t="shared" ca="1" si="4"/>
        <v>153</v>
      </c>
      <c r="B158" s="372" t="s">
        <v>1445</v>
      </c>
      <c r="C158" s="360" t="s">
        <v>1446</v>
      </c>
      <c r="D158" s="360" t="s">
        <v>1447</v>
      </c>
      <c r="E158" s="352" t="s">
        <v>1025</v>
      </c>
      <c r="F158" s="361">
        <v>0</v>
      </c>
      <c r="G158" s="361">
        <v>0</v>
      </c>
      <c r="H158" s="361"/>
      <c r="I158" s="361"/>
      <c r="J158" s="361"/>
      <c r="K158" s="361">
        <v>65400</v>
      </c>
      <c r="L158" s="361">
        <v>65400</v>
      </c>
      <c r="M158" s="361">
        <v>65000</v>
      </c>
      <c r="N158" s="362">
        <v>65000</v>
      </c>
      <c r="O158" s="362">
        <v>65000</v>
      </c>
      <c r="P158" s="363">
        <v>42853</v>
      </c>
      <c r="Q158" s="356">
        <v>1</v>
      </c>
      <c r="R158" s="357">
        <v>1</v>
      </c>
      <c r="S158" s="358">
        <v>0</v>
      </c>
      <c r="T158" s="358">
        <v>65000</v>
      </c>
      <c r="U158" s="358">
        <v>0</v>
      </c>
      <c r="V158" s="358"/>
      <c r="W158" s="359">
        <f t="shared" si="5"/>
        <v>0</v>
      </c>
      <c r="X158" s="350" t="s">
        <v>599</v>
      </c>
      <c r="Y158" s="358"/>
      <c r="Z158" s="358"/>
      <c r="AA158" s="359"/>
      <c r="AB158" s="350"/>
    </row>
    <row r="159" spans="1:28" s="149" customFormat="1" ht="102">
      <c r="A159" s="349">
        <f t="shared" ca="1" si="4"/>
        <v>154</v>
      </c>
      <c r="B159" s="350" t="s">
        <v>1448</v>
      </c>
      <c r="C159" s="351" t="s">
        <v>1449</v>
      </c>
      <c r="D159" s="360" t="s">
        <v>1450</v>
      </c>
      <c r="E159" s="352" t="s">
        <v>1025</v>
      </c>
      <c r="F159" s="361"/>
      <c r="G159" s="361"/>
      <c r="H159" s="361"/>
      <c r="I159" s="361"/>
      <c r="J159" s="361"/>
      <c r="K159" s="361"/>
      <c r="L159" s="361">
        <f>14400+228995</f>
        <v>243395</v>
      </c>
      <c r="M159" s="361">
        <f>14400+228995</f>
        <v>243395</v>
      </c>
      <c r="N159" s="362">
        <f>14400+228995</f>
        <v>243395</v>
      </c>
      <c r="O159" s="362">
        <f>14400+228995</f>
        <v>243395</v>
      </c>
      <c r="P159" s="363">
        <v>42978</v>
      </c>
      <c r="Q159" s="356">
        <v>1</v>
      </c>
      <c r="R159" s="357">
        <v>1</v>
      </c>
      <c r="S159" s="358"/>
      <c r="T159" s="358">
        <f>33995+195000</f>
        <v>228995</v>
      </c>
      <c r="U159" s="358"/>
      <c r="V159" s="358"/>
      <c r="W159" s="359">
        <f t="shared" si="5"/>
        <v>14400</v>
      </c>
      <c r="X159" s="350" t="s">
        <v>599</v>
      </c>
      <c r="Y159" s="358"/>
      <c r="Z159" s="358"/>
      <c r="AA159" s="359"/>
      <c r="AB159" s="350"/>
    </row>
    <row r="160" spans="1:28" s="149" customFormat="1" ht="102">
      <c r="A160" s="349">
        <f t="shared" ca="1" si="4"/>
        <v>155</v>
      </c>
      <c r="B160" s="372" t="s">
        <v>1451</v>
      </c>
      <c r="C160" s="360" t="s">
        <v>1452</v>
      </c>
      <c r="D160" s="360" t="s">
        <v>1453</v>
      </c>
      <c r="E160" s="352" t="s">
        <v>1025</v>
      </c>
      <c r="F160" s="361"/>
      <c r="G160" s="361"/>
      <c r="H160" s="361"/>
      <c r="I160" s="361"/>
      <c r="J160" s="361"/>
      <c r="K160" s="361"/>
      <c r="L160" s="361">
        <v>13260</v>
      </c>
      <c r="M160" s="361">
        <v>13260</v>
      </c>
      <c r="N160" s="362">
        <v>13260</v>
      </c>
      <c r="O160" s="362">
        <v>13260</v>
      </c>
      <c r="P160" s="363" t="s">
        <v>1454</v>
      </c>
      <c r="Q160" s="356">
        <v>1</v>
      </c>
      <c r="R160" s="357">
        <v>1</v>
      </c>
      <c r="S160" s="358">
        <v>0</v>
      </c>
      <c r="T160" s="358">
        <v>13260</v>
      </c>
      <c r="U160" s="358">
        <v>0</v>
      </c>
      <c r="V160" s="358"/>
      <c r="W160" s="359">
        <f t="shared" si="5"/>
        <v>0</v>
      </c>
      <c r="X160" s="350" t="s">
        <v>599</v>
      </c>
      <c r="Y160" s="358"/>
      <c r="Z160" s="358"/>
      <c r="AA160" s="359"/>
      <c r="AB160" s="350"/>
    </row>
    <row r="161" spans="1:28" s="149" customFormat="1" ht="102">
      <c r="A161" s="349">
        <f t="shared" ca="1" si="4"/>
        <v>156</v>
      </c>
      <c r="B161" s="349" t="s">
        <v>1455</v>
      </c>
      <c r="C161" s="368" t="s">
        <v>1456</v>
      </c>
      <c r="D161" s="360" t="s">
        <v>1457</v>
      </c>
      <c r="E161" s="352" t="s">
        <v>1025</v>
      </c>
      <c r="F161" s="361"/>
      <c r="G161" s="361"/>
      <c r="H161" s="361"/>
      <c r="I161" s="361"/>
      <c r="J161" s="361"/>
      <c r="K161" s="361"/>
      <c r="L161" s="361">
        <v>30000</v>
      </c>
      <c r="M161" s="361">
        <v>30000</v>
      </c>
      <c r="N161" s="362">
        <v>60685.45</v>
      </c>
      <c r="O161" s="362">
        <v>60685.45</v>
      </c>
      <c r="P161" s="363">
        <v>42943</v>
      </c>
      <c r="Q161" s="356">
        <v>1</v>
      </c>
      <c r="R161" s="357">
        <v>1</v>
      </c>
      <c r="S161" s="358">
        <v>0</v>
      </c>
      <c r="T161" s="358">
        <v>60685.45</v>
      </c>
      <c r="U161" s="358">
        <v>0</v>
      </c>
      <c r="V161" s="358"/>
      <c r="W161" s="359">
        <f t="shared" si="5"/>
        <v>0</v>
      </c>
      <c r="X161" s="350" t="s">
        <v>599</v>
      </c>
      <c r="Y161" s="358"/>
      <c r="Z161" s="358"/>
      <c r="AA161" s="359"/>
      <c r="AB161" s="350"/>
    </row>
    <row r="162" spans="1:28" s="149" customFormat="1" ht="102">
      <c r="A162" s="349">
        <f ca="1">OFFSET(A162,-1,0)+1</f>
        <v>157</v>
      </c>
      <c r="B162" s="349" t="s">
        <v>1458</v>
      </c>
      <c r="C162" s="368" t="s">
        <v>1459</v>
      </c>
      <c r="D162" s="360" t="s">
        <v>1460</v>
      </c>
      <c r="E162" s="352" t="s">
        <v>1025</v>
      </c>
      <c r="F162" s="361"/>
      <c r="G162" s="361"/>
      <c r="H162" s="361"/>
      <c r="I162" s="361"/>
      <c r="J162" s="361"/>
      <c r="K162" s="361"/>
      <c r="L162" s="361">
        <v>350000</v>
      </c>
      <c r="M162" s="361">
        <v>350000</v>
      </c>
      <c r="N162" s="362">
        <v>350000</v>
      </c>
      <c r="O162" s="362">
        <v>350000</v>
      </c>
      <c r="P162" s="363" t="s">
        <v>1194</v>
      </c>
      <c r="Q162" s="356">
        <v>0</v>
      </c>
      <c r="R162" s="357">
        <v>0</v>
      </c>
      <c r="S162" s="358">
        <v>0</v>
      </c>
      <c r="T162" s="358">
        <v>0</v>
      </c>
      <c r="U162" s="358">
        <v>0</v>
      </c>
      <c r="V162" s="358">
        <v>0</v>
      </c>
      <c r="W162" s="359">
        <f t="shared" si="5"/>
        <v>350000</v>
      </c>
      <c r="X162" s="350" t="s">
        <v>599</v>
      </c>
      <c r="Y162" s="358"/>
      <c r="Z162" s="358"/>
      <c r="AA162" s="359"/>
      <c r="AB162" s="350"/>
    </row>
    <row r="163" spans="1:28" s="149" customFormat="1" ht="102">
      <c r="A163" s="349">
        <f ca="1">OFFSET(A163,-1,0)+1</f>
        <v>158</v>
      </c>
      <c r="B163" s="372" t="s">
        <v>1461</v>
      </c>
      <c r="C163" s="360" t="s">
        <v>1462</v>
      </c>
      <c r="D163" s="360" t="s">
        <v>1463</v>
      </c>
      <c r="E163" s="352" t="s">
        <v>1025</v>
      </c>
      <c r="F163" s="361">
        <v>0</v>
      </c>
      <c r="G163" s="361">
        <v>0</v>
      </c>
      <c r="H163" s="361"/>
      <c r="I163" s="361"/>
      <c r="J163" s="361"/>
      <c r="K163" s="361">
        <v>100000</v>
      </c>
      <c r="L163" s="361">
        <v>100000</v>
      </c>
      <c r="M163" s="361">
        <v>106447.76</v>
      </c>
      <c r="N163" s="362">
        <v>106447.76</v>
      </c>
      <c r="O163" s="362">
        <v>106447.76</v>
      </c>
      <c r="P163" s="363">
        <v>43343</v>
      </c>
      <c r="Q163" s="356">
        <v>1</v>
      </c>
      <c r="R163" s="357">
        <v>0</v>
      </c>
      <c r="S163" s="358">
        <v>0</v>
      </c>
      <c r="T163" s="358"/>
      <c r="U163" s="358">
        <v>0</v>
      </c>
      <c r="V163" s="358"/>
      <c r="W163" s="359">
        <f t="shared" si="5"/>
        <v>106447.76</v>
      </c>
      <c r="X163" s="350" t="s">
        <v>599</v>
      </c>
      <c r="Y163" s="358"/>
      <c r="Z163" s="358"/>
      <c r="AA163" s="359"/>
      <c r="AB163" s="350"/>
    </row>
    <row r="164" spans="1:28" s="149" customFormat="1" ht="165.75">
      <c r="A164" s="349">
        <f ca="1">OFFSET(A164,-1,0)+1</f>
        <v>159</v>
      </c>
      <c r="B164" s="349" t="s">
        <v>1464</v>
      </c>
      <c r="C164" s="368" t="s">
        <v>1465</v>
      </c>
      <c r="D164" s="360" t="s">
        <v>1466</v>
      </c>
      <c r="E164" s="352" t="s">
        <v>1025</v>
      </c>
      <c r="F164" s="361"/>
      <c r="G164" s="361"/>
      <c r="H164" s="361"/>
      <c r="I164" s="361"/>
      <c r="J164" s="361"/>
      <c r="K164" s="361"/>
      <c r="L164" s="361"/>
      <c r="M164" s="361"/>
      <c r="N164" s="362">
        <v>100000</v>
      </c>
      <c r="O164" s="362">
        <v>100000</v>
      </c>
      <c r="P164" s="363" t="s">
        <v>1194</v>
      </c>
      <c r="Q164" s="356">
        <v>0</v>
      </c>
      <c r="R164" s="357">
        <v>0</v>
      </c>
      <c r="S164" s="358"/>
      <c r="T164" s="358"/>
      <c r="U164" s="358"/>
      <c r="V164" s="358"/>
      <c r="W164" s="359">
        <f t="shared" si="5"/>
        <v>100000</v>
      </c>
      <c r="X164" s="350" t="s">
        <v>599</v>
      </c>
      <c r="Y164" s="358"/>
      <c r="Z164" s="358"/>
      <c r="AA164" s="359"/>
      <c r="AB164" s="350"/>
    </row>
    <row r="165" spans="1:28" s="149" customFormat="1" ht="102">
      <c r="A165" s="349">
        <f t="shared" ca="1" si="4"/>
        <v>160</v>
      </c>
      <c r="B165" s="350" t="s">
        <v>1467</v>
      </c>
      <c r="C165" s="351" t="s">
        <v>1468</v>
      </c>
      <c r="D165" s="360" t="s">
        <v>1469</v>
      </c>
      <c r="E165" s="352" t="s">
        <v>1025</v>
      </c>
      <c r="F165" s="361">
        <v>0</v>
      </c>
      <c r="G165" s="361">
        <v>0</v>
      </c>
      <c r="H165" s="361"/>
      <c r="I165" s="361">
        <v>5100000</v>
      </c>
      <c r="J165" s="361">
        <v>5100000</v>
      </c>
      <c r="K165" s="361">
        <v>5100000</v>
      </c>
      <c r="L165" s="361">
        <v>5100000</v>
      </c>
      <c r="M165" s="361">
        <v>5100000</v>
      </c>
      <c r="N165" s="362">
        <v>5100000</v>
      </c>
      <c r="O165" s="362">
        <v>5100000</v>
      </c>
      <c r="P165" s="355" t="s">
        <v>1470</v>
      </c>
      <c r="Q165" s="356">
        <v>0</v>
      </c>
      <c r="R165" s="357">
        <v>0</v>
      </c>
      <c r="S165" s="358">
        <v>0</v>
      </c>
      <c r="T165" s="358">
        <v>0</v>
      </c>
      <c r="U165" s="358">
        <v>0</v>
      </c>
      <c r="V165" s="358">
        <v>0</v>
      </c>
      <c r="W165" s="359">
        <f t="shared" si="5"/>
        <v>5100000</v>
      </c>
      <c r="X165" s="350" t="s">
        <v>143</v>
      </c>
      <c r="Y165" s="364"/>
      <c r="Z165" s="364"/>
      <c r="AA165" s="359"/>
      <c r="AB165" s="351"/>
    </row>
    <row r="166" spans="1:28" s="149" customFormat="1" ht="51.75" thickBot="1">
      <c r="A166" s="351"/>
      <c r="B166" s="351" t="s">
        <v>1471</v>
      </c>
      <c r="C166" s="351" t="s">
        <v>1472</v>
      </c>
      <c r="D166" s="351" t="s">
        <v>1473</v>
      </c>
      <c r="E166" s="351"/>
      <c r="F166" s="364">
        <f>13605967.82-338342.16</f>
        <v>13267625.66</v>
      </c>
      <c r="G166" s="364">
        <v>13605967.82</v>
      </c>
      <c r="H166" s="364">
        <v>8549999.8100000005</v>
      </c>
      <c r="I166" s="364">
        <v>0</v>
      </c>
      <c r="J166" s="364"/>
      <c r="K166" s="364"/>
      <c r="L166" s="364"/>
      <c r="M166" s="364"/>
      <c r="N166" s="364"/>
      <c r="O166" s="364"/>
      <c r="P166" s="379"/>
      <c r="Q166" s="380" t="s">
        <v>794</v>
      </c>
      <c r="R166" s="381" t="s">
        <v>794</v>
      </c>
      <c r="S166" s="364"/>
      <c r="T166" s="364"/>
      <c r="U166" s="364"/>
      <c r="V166" s="364"/>
      <c r="W166" s="351">
        <f>I166-S166-T166</f>
        <v>0</v>
      </c>
      <c r="X166" s="351"/>
      <c r="Y166" s="389"/>
      <c r="Z166" s="389"/>
      <c r="AA166" s="385"/>
      <c r="AB166" s="382"/>
    </row>
    <row r="167" spans="1:28" ht="15.75" thickBot="1">
      <c r="A167" s="382"/>
      <c r="B167" s="382"/>
      <c r="C167" s="383"/>
      <c r="D167" s="383"/>
      <c r="E167" s="384" t="s">
        <v>514</v>
      </c>
      <c r="F167" s="385">
        <f t="shared" ref="F167:O167" si="6">SUM(F6:F166)</f>
        <v>38778877</v>
      </c>
      <c r="G167" s="385">
        <f t="shared" si="6"/>
        <v>38778877</v>
      </c>
      <c r="H167" s="385">
        <f t="shared" si="6"/>
        <v>38778876.989999995</v>
      </c>
      <c r="I167" s="385">
        <f t="shared" si="6"/>
        <v>38778876.839999996</v>
      </c>
      <c r="J167" s="385">
        <f t="shared" si="6"/>
        <v>38778876.839999996</v>
      </c>
      <c r="K167" s="385">
        <f t="shared" si="6"/>
        <v>38878876.839999989</v>
      </c>
      <c r="L167" s="385">
        <f t="shared" si="6"/>
        <v>39228876.839999996</v>
      </c>
      <c r="M167" s="385">
        <f t="shared" si="6"/>
        <v>39235324.599999994</v>
      </c>
      <c r="N167" s="385">
        <f t="shared" si="6"/>
        <v>39335324.759999998</v>
      </c>
      <c r="O167" s="385">
        <f t="shared" si="6"/>
        <v>38778876.999999993</v>
      </c>
      <c r="P167" s="386"/>
      <c r="Q167" s="387"/>
      <c r="R167" s="388"/>
      <c r="S167" s="389">
        <f t="shared" ref="S167:T167" si="7">SUM(S6:S166)</f>
        <v>2207682.11</v>
      </c>
      <c r="T167" s="389">
        <f t="shared" si="7"/>
        <v>20664113.940000001</v>
      </c>
      <c r="U167" s="389">
        <f>SUM(U6:U166)</f>
        <v>0</v>
      </c>
      <c r="V167" s="389">
        <f>SUM(V6:V166)</f>
        <v>0</v>
      </c>
      <c r="W167" s="385">
        <f>I167-S167-T167</f>
        <v>15907080.789999995</v>
      </c>
      <c r="X167" s="382"/>
      <c r="Y167" s="364"/>
      <c r="Z167" s="364"/>
      <c r="AA167" s="359"/>
      <c r="AB167" s="351"/>
    </row>
    <row r="168" spans="1:28" ht="15.75" thickBot="1">
      <c r="A168" s="382"/>
      <c r="B168" s="382"/>
      <c r="C168" s="382"/>
      <c r="D168" s="382"/>
      <c r="E168" s="382"/>
      <c r="F168" s="382"/>
      <c r="G168" s="382"/>
      <c r="H168" s="383"/>
      <c r="I168" s="383"/>
      <c r="J168" s="543"/>
      <c r="K168" s="543"/>
      <c r="L168" s="384"/>
      <c r="M168" s="385"/>
      <c r="N168" s="385"/>
      <c r="O168" s="385"/>
      <c r="P168" s="385"/>
      <c r="Q168" s="385"/>
      <c r="R168" s="385"/>
      <c r="S168" s="385"/>
      <c r="T168" s="385"/>
      <c r="U168" s="385"/>
      <c r="V168" s="386"/>
      <c r="W168" s="387"/>
      <c r="X168" s="388"/>
      <c r="Y168" s="389"/>
      <c r="Z168" s="389"/>
      <c r="AA168" s="385"/>
      <c r="AB168" s="382"/>
    </row>
  </sheetData>
  <mergeCells count="3">
    <mergeCell ref="C1:D1"/>
    <mergeCell ref="C2:D2"/>
    <mergeCell ref="C3:D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A16" sqref="A16:XFD16"/>
    </sheetView>
  </sheetViews>
  <sheetFormatPr defaultRowHeight="15"/>
  <cols>
    <col min="2" max="2" width="11.5703125" customWidth="1"/>
    <col min="3" max="3" width="18.85546875" customWidth="1"/>
    <col min="4" max="4" width="27.5703125" customWidth="1"/>
    <col min="5" max="5" width="11.28515625" customWidth="1"/>
    <col min="6" max="6" width="17.140625" customWidth="1"/>
    <col min="7" max="7" width="20.42578125" customWidth="1"/>
    <col min="8" max="8" width="13.5703125" customWidth="1"/>
    <col min="9" max="9" width="14.28515625" customWidth="1"/>
    <col min="10" max="10" width="13.85546875" customWidth="1"/>
    <col min="11" max="11" width="17.7109375" customWidth="1"/>
    <col min="12" max="12" width="22.85546875" customWidth="1"/>
    <col min="13" max="13" width="16.28515625" customWidth="1"/>
  </cols>
  <sheetData>
    <row r="1" spans="1:14" ht="15.75">
      <c r="A1" s="189"/>
      <c r="B1" s="190" t="s">
        <v>131</v>
      </c>
      <c r="C1" s="411" t="s">
        <v>648</v>
      </c>
      <c r="D1" s="412"/>
      <c r="E1" s="191"/>
      <c r="F1" s="210"/>
      <c r="G1" s="210"/>
      <c r="H1" s="211"/>
      <c r="I1" s="212"/>
      <c r="J1" s="211"/>
      <c r="K1" s="210"/>
      <c r="L1" s="189"/>
      <c r="M1" s="189"/>
      <c r="N1" s="189"/>
    </row>
    <row r="2" spans="1:14" ht="15.75">
      <c r="A2" s="189"/>
      <c r="B2" s="190" t="s">
        <v>78</v>
      </c>
      <c r="C2" s="413">
        <f ca="1">TODAY()</f>
        <v>43088</v>
      </c>
      <c r="D2" s="414"/>
      <c r="E2" s="192"/>
      <c r="F2" s="210"/>
      <c r="G2" s="213"/>
      <c r="H2" s="214"/>
      <c r="I2" s="212"/>
      <c r="J2" s="212"/>
      <c r="K2" s="210"/>
      <c r="L2" s="189"/>
      <c r="M2" s="215">
        <f ca="1">C2</f>
        <v>43088</v>
      </c>
      <c r="N2" s="189"/>
    </row>
    <row r="3" spans="1:14" ht="31.5">
      <c r="A3" s="189"/>
      <c r="B3" s="190" t="s">
        <v>80</v>
      </c>
      <c r="C3" s="415"/>
      <c r="D3" s="416"/>
      <c r="E3" s="193"/>
      <c r="F3" s="210"/>
      <c r="G3" s="210"/>
      <c r="H3" s="211"/>
      <c r="I3" s="211"/>
      <c r="J3" s="211"/>
      <c r="K3" s="210"/>
      <c r="L3" s="189"/>
      <c r="M3" s="189"/>
      <c r="N3" s="189"/>
    </row>
    <row r="4" spans="1:14" ht="15.75">
      <c r="A4" s="189"/>
      <c r="B4" s="194"/>
      <c r="C4" s="195"/>
      <c r="D4" s="196"/>
      <c r="E4" s="196"/>
      <c r="F4" s="210"/>
      <c r="G4" s="210"/>
      <c r="H4" s="211"/>
      <c r="I4" s="211"/>
      <c r="J4" s="211"/>
      <c r="K4" s="210"/>
      <c r="L4" s="189"/>
      <c r="M4" s="189"/>
      <c r="N4" s="189"/>
    </row>
    <row r="5" spans="1:14" ht="27.75" customHeight="1">
      <c r="A5" s="403" t="s">
        <v>134</v>
      </c>
      <c r="B5" s="406" t="s">
        <v>82</v>
      </c>
      <c r="C5" s="406" t="s">
        <v>83</v>
      </c>
      <c r="D5" s="406" t="s">
        <v>84</v>
      </c>
      <c r="E5" s="406" t="s">
        <v>85</v>
      </c>
      <c r="F5" s="407" t="s">
        <v>0</v>
      </c>
      <c r="G5" s="407" t="s">
        <v>662</v>
      </c>
      <c r="H5" s="403" t="s">
        <v>88</v>
      </c>
      <c r="I5" s="408" t="s">
        <v>89</v>
      </c>
      <c r="J5" s="406" t="s">
        <v>136</v>
      </c>
      <c r="K5" s="400" t="s">
        <v>2</v>
      </c>
      <c r="L5" s="403" t="s">
        <v>4</v>
      </c>
      <c r="M5" s="403" t="s">
        <v>6</v>
      </c>
      <c r="N5" s="403" t="s">
        <v>137</v>
      </c>
    </row>
    <row r="6" spans="1:14" ht="27.75" customHeight="1">
      <c r="A6" s="404"/>
      <c r="B6" s="406"/>
      <c r="C6" s="406"/>
      <c r="D6" s="406"/>
      <c r="E6" s="406"/>
      <c r="F6" s="407"/>
      <c r="G6" s="407"/>
      <c r="H6" s="404"/>
      <c r="I6" s="409"/>
      <c r="J6" s="406"/>
      <c r="K6" s="401"/>
      <c r="L6" s="404"/>
      <c r="M6" s="404"/>
      <c r="N6" s="404"/>
    </row>
    <row r="7" spans="1:14" ht="27.75" customHeight="1">
      <c r="A7" s="405"/>
      <c r="B7" s="406"/>
      <c r="C7" s="406"/>
      <c r="D7" s="406"/>
      <c r="E7" s="406"/>
      <c r="F7" s="407"/>
      <c r="G7" s="407"/>
      <c r="H7" s="405"/>
      <c r="I7" s="410"/>
      <c r="J7" s="406"/>
      <c r="K7" s="402"/>
      <c r="L7" s="405"/>
      <c r="M7" s="405"/>
      <c r="N7" s="405"/>
    </row>
    <row r="8" spans="1:14" s="149" customFormat="1" ht="135">
      <c r="A8" s="202">
        <v>1</v>
      </c>
      <c r="B8" s="202">
        <v>48150090</v>
      </c>
      <c r="C8" s="216" t="s">
        <v>656</v>
      </c>
      <c r="D8" s="217" t="s">
        <v>663</v>
      </c>
      <c r="E8" s="202" t="s">
        <v>664</v>
      </c>
      <c r="F8" s="218">
        <v>2000000</v>
      </c>
      <c r="G8" s="218">
        <v>1346642.33</v>
      </c>
      <c r="H8" s="219">
        <v>43102</v>
      </c>
      <c r="I8" s="220">
        <v>1</v>
      </c>
      <c r="J8" s="220">
        <v>0.7</v>
      </c>
      <c r="K8" s="221">
        <v>76658.079999999929</v>
      </c>
      <c r="L8" s="222">
        <v>1269984.2500000002</v>
      </c>
      <c r="M8" s="223">
        <v>0</v>
      </c>
      <c r="N8" s="202" t="s">
        <v>665</v>
      </c>
    </row>
    <row r="9" spans="1:14" s="149" customFormat="1" ht="135">
      <c r="A9" s="202">
        <v>2</v>
      </c>
      <c r="B9" s="202">
        <v>48140070</v>
      </c>
      <c r="C9" s="216" t="s">
        <v>658</v>
      </c>
      <c r="D9" s="224" t="s">
        <v>666</v>
      </c>
      <c r="E9" s="202" t="s">
        <v>667</v>
      </c>
      <c r="F9" s="218">
        <v>1500000</v>
      </c>
      <c r="G9" s="218">
        <v>1545910.65</v>
      </c>
      <c r="H9" s="219">
        <v>43083</v>
      </c>
      <c r="I9" s="309">
        <v>1</v>
      </c>
      <c r="J9" s="309">
        <v>0.84</v>
      </c>
      <c r="K9" s="228">
        <v>101613.93999999992</v>
      </c>
      <c r="L9" s="228">
        <v>1444296.71</v>
      </c>
      <c r="M9" s="223">
        <v>0</v>
      </c>
      <c r="N9" s="202" t="s">
        <v>665</v>
      </c>
    </row>
    <row r="10" spans="1:14" ht="135">
      <c r="A10" s="165">
        <v>3</v>
      </c>
      <c r="B10" s="165">
        <v>48140040</v>
      </c>
      <c r="C10" s="216" t="s">
        <v>659</v>
      </c>
      <c r="D10" s="224" t="s">
        <v>668</v>
      </c>
      <c r="E10" s="202" t="s">
        <v>667</v>
      </c>
      <c r="F10" s="218">
        <v>1125000</v>
      </c>
      <c r="G10" s="218">
        <v>981594.53</v>
      </c>
      <c r="H10" s="225">
        <v>43033</v>
      </c>
      <c r="I10" s="226">
        <v>1</v>
      </c>
      <c r="J10" s="226">
        <v>0.68</v>
      </c>
      <c r="K10" s="221">
        <v>65188.590000000084</v>
      </c>
      <c r="L10" s="221">
        <v>916405.94</v>
      </c>
      <c r="M10" s="223">
        <v>0</v>
      </c>
      <c r="N10" s="202" t="s">
        <v>665</v>
      </c>
    </row>
    <row r="11" spans="1:14" s="149" customFormat="1" ht="135">
      <c r="A11" s="202">
        <v>4</v>
      </c>
      <c r="B11" s="202">
        <v>48150110</v>
      </c>
      <c r="C11" s="216" t="s">
        <v>660</v>
      </c>
      <c r="D11" s="217" t="s">
        <v>669</v>
      </c>
      <c r="E11" s="202" t="s">
        <v>667</v>
      </c>
      <c r="F11" s="218">
        <v>3875000</v>
      </c>
      <c r="G11" s="227">
        <v>3951827.6799999997</v>
      </c>
      <c r="H11" s="219">
        <v>43120</v>
      </c>
      <c r="I11" s="309">
        <v>1</v>
      </c>
      <c r="J11" s="309">
        <v>0.7</v>
      </c>
      <c r="K11" s="228">
        <v>824970.99000000022</v>
      </c>
      <c r="L11" s="228">
        <v>3126856.6899999995</v>
      </c>
      <c r="M11" s="223">
        <v>0</v>
      </c>
      <c r="N11" s="202" t="s">
        <v>665</v>
      </c>
    </row>
    <row r="12" spans="1:14" s="149" customFormat="1" ht="135">
      <c r="A12" s="202">
        <v>5</v>
      </c>
      <c r="B12" s="202">
        <v>48160100</v>
      </c>
      <c r="C12" s="162" t="s">
        <v>661</v>
      </c>
      <c r="D12" s="217" t="s">
        <v>670</v>
      </c>
      <c r="E12" s="202" t="s">
        <v>671</v>
      </c>
      <c r="F12" s="218">
        <v>1375000</v>
      </c>
      <c r="G12" s="227">
        <v>1748580.54</v>
      </c>
      <c r="H12" s="219">
        <v>43188</v>
      </c>
      <c r="I12" s="309">
        <v>1</v>
      </c>
      <c r="J12" s="309">
        <v>0.34</v>
      </c>
      <c r="K12" s="228">
        <v>870842</v>
      </c>
      <c r="L12" s="228">
        <v>877738.54</v>
      </c>
      <c r="M12" s="223">
        <v>0</v>
      </c>
      <c r="N12" s="202" t="s">
        <v>665</v>
      </c>
    </row>
    <row r="13" spans="1:14" ht="135">
      <c r="A13" s="165">
        <v>6</v>
      </c>
      <c r="B13" s="165">
        <v>48130053</v>
      </c>
      <c r="C13" s="162" t="s">
        <v>672</v>
      </c>
      <c r="D13" s="162" t="s">
        <v>673</v>
      </c>
      <c r="E13" s="162" t="s">
        <v>667</v>
      </c>
      <c r="F13" s="229">
        <v>4000000</v>
      </c>
      <c r="G13" s="230">
        <v>3231320</v>
      </c>
      <c r="H13" s="225">
        <v>43367</v>
      </c>
      <c r="I13" s="226">
        <v>1</v>
      </c>
      <c r="J13" s="226">
        <v>0</v>
      </c>
      <c r="K13" s="221">
        <v>3202000</v>
      </c>
      <c r="L13" s="221">
        <v>29320</v>
      </c>
      <c r="M13" s="223">
        <v>0</v>
      </c>
      <c r="N13" s="202" t="s">
        <v>665</v>
      </c>
    </row>
    <row r="14" spans="1:14" s="149" customFormat="1" ht="135">
      <c r="A14" s="202">
        <v>7</v>
      </c>
      <c r="B14" s="202">
        <v>48150060</v>
      </c>
      <c r="C14" s="162" t="s">
        <v>674</v>
      </c>
      <c r="D14" s="162" t="s">
        <v>675</v>
      </c>
      <c r="E14" s="162" t="s">
        <v>667</v>
      </c>
      <c r="F14" s="229">
        <v>2875000</v>
      </c>
      <c r="G14" s="310">
        <v>3343712.85</v>
      </c>
      <c r="H14" s="219">
        <v>43342</v>
      </c>
      <c r="I14" s="309">
        <v>1</v>
      </c>
      <c r="J14" s="309">
        <v>0</v>
      </c>
      <c r="K14" s="221">
        <v>2685880</v>
      </c>
      <c r="L14" s="221">
        <v>657832.85</v>
      </c>
      <c r="M14" s="229">
        <v>0</v>
      </c>
      <c r="N14" s="202" t="s">
        <v>665</v>
      </c>
    </row>
    <row r="15" spans="1:14" ht="135">
      <c r="A15" s="165">
        <v>8</v>
      </c>
      <c r="B15" s="165">
        <v>48170090</v>
      </c>
      <c r="C15" s="162" t="s">
        <v>676</v>
      </c>
      <c r="D15" s="162" t="s">
        <v>677</v>
      </c>
      <c r="E15" s="162" t="s">
        <v>671</v>
      </c>
      <c r="F15" s="229">
        <v>1437500</v>
      </c>
      <c r="G15" s="230">
        <v>1785430.97</v>
      </c>
      <c r="H15" s="225">
        <v>43413</v>
      </c>
      <c r="I15" s="226">
        <v>1</v>
      </c>
      <c r="J15" s="226">
        <v>0</v>
      </c>
      <c r="K15" s="221">
        <v>1107823.3999999999</v>
      </c>
      <c r="L15" s="221">
        <v>677607.57</v>
      </c>
      <c r="M15" s="229">
        <v>0</v>
      </c>
      <c r="N15" s="202" t="s">
        <v>665</v>
      </c>
    </row>
    <row r="16" spans="1:14" s="149" customFormat="1" ht="135">
      <c r="A16" s="202">
        <v>9</v>
      </c>
      <c r="B16" s="202">
        <v>48140061</v>
      </c>
      <c r="C16" s="162" t="s">
        <v>678</v>
      </c>
      <c r="D16" s="162" t="s">
        <v>679</v>
      </c>
      <c r="E16" s="162" t="s">
        <v>667</v>
      </c>
      <c r="F16" s="229">
        <v>1375000</v>
      </c>
      <c r="G16" s="310">
        <v>1624161.47</v>
      </c>
      <c r="H16" s="219">
        <v>43298</v>
      </c>
      <c r="I16" s="309">
        <v>1</v>
      </c>
      <c r="J16" s="309">
        <v>0</v>
      </c>
      <c r="K16" s="221">
        <v>1278952.7999999998</v>
      </c>
      <c r="L16" s="221">
        <v>345208.67000000004</v>
      </c>
      <c r="M16" s="229">
        <v>0</v>
      </c>
      <c r="N16" s="202" t="s">
        <v>665</v>
      </c>
    </row>
    <row r="17" spans="1:14">
      <c r="A17" s="232"/>
      <c r="B17" s="165"/>
      <c r="C17" s="232"/>
      <c r="D17" s="232"/>
      <c r="E17" s="232"/>
      <c r="F17" s="233"/>
      <c r="G17" s="233"/>
      <c r="H17" s="165"/>
      <c r="I17" s="165"/>
      <c r="J17" s="165"/>
      <c r="K17" s="231"/>
      <c r="L17" s="234"/>
      <c r="M17" s="223"/>
      <c r="N17" s="232"/>
    </row>
    <row r="18" spans="1:14" ht="15.75">
      <c r="A18" s="232"/>
      <c r="B18" s="235"/>
      <c r="C18" s="235"/>
      <c r="D18" s="232"/>
      <c r="E18" s="232"/>
      <c r="F18" s="233"/>
      <c r="G18" s="233"/>
      <c r="H18" s="165"/>
      <c r="I18" s="165"/>
      <c r="J18" s="165"/>
      <c r="K18" s="231"/>
      <c r="L18" s="234"/>
      <c r="M18" s="223"/>
      <c r="N18" s="232"/>
    </row>
    <row r="19" spans="1:14">
      <c r="A19" s="165"/>
      <c r="B19" s="165"/>
      <c r="C19" s="232"/>
      <c r="D19" s="232"/>
      <c r="E19" s="232"/>
      <c r="F19" s="229"/>
      <c r="G19" s="233"/>
      <c r="H19" s="236"/>
      <c r="I19" s="236"/>
      <c r="J19" s="236"/>
      <c r="K19" s="231"/>
      <c r="L19" s="231"/>
      <c r="M19" s="223"/>
      <c r="N19" s="232"/>
    </row>
    <row r="20" spans="1:14">
      <c r="A20" s="232"/>
      <c r="B20" s="165"/>
      <c r="C20" s="232"/>
      <c r="D20" s="232"/>
      <c r="E20" s="232"/>
      <c r="F20" s="233"/>
      <c r="G20" s="233"/>
      <c r="H20" s="165"/>
      <c r="I20" s="165"/>
      <c r="J20" s="165"/>
      <c r="K20" s="231"/>
      <c r="L20" s="234"/>
      <c r="M20" s="223"/>
      <c r="N20" s="232"/>
    </row>
    <row r="21" spans="1:14" ht="16.5" thickBot="1">
      <c r="A21" s="232"/>
      <c r="B21" s="235"/>
      <c r="C21" s="235"/>
      <c r="D21" s="232"/>
      <c r="E21" s="237"/>
      <c r="F21" s="238"/>
      <c r="G21" s="238"/>
      <c r="H21" s="165"/>
      <c r="I21" s="239"/>
      <c r="J21" s="239"/>
      <c r="K21" s="240"/>
      <c r="L21" s="241"/>
      <c r="M21" s="242"/>
      <c r="N21" s="237"/>
    </row>
    <row r="22" spans="1:14" ht="16.5" thickBot="1">
      <c r="A22" s="243"/>
      <c r="B22" s="212"/>
      <c r="C22" s="243"/>
      <c r="D22" s="243"/>
      <c r="E22" s="244" t="s">
        <v>514</v>
      </c>
      <c r="F22" s="245">
        <f>SUM(F8:F21)</f>
        <v>19562500</v>
      </c>
      <c r="G22" s="246">
        <f>SUM(G8:G21)</f>
        <v>19559181.02</v>
      </c>
      <c r="H22" s="247"/>
      <c r="I22" s="248"/>
      <c r="J22" s="249"/>
      <c r="K22" s="245">
        <f>SUM(K8:K21)</f>
        <v>10213929.800000001</v>
      </c>
      <c r="L22" s="250">
        <f>SUM(L8:L21)</f>
        <v>9345251.2199999988</v>
      </c>
      <c r="M22" s="251">
        <v>0</v>
      </c>
      <c r="N22" s="252"/>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topLeftCell="A103" workbookViewId="0">
      <selection activeCell="A8" sqref="A8:XFD103"/>
    </sheetView>
  </sheetViews>
  <sheetFormatPr defaultRowHeight="15"/>
  <cols>
    <col min="2" max="2" width="12.28515625" customWidth="1"/>
    <col min="3" max="3" width="16" customWidth="1"/>
    <col min="4" max="4" width="31.42578125" customWidth="1"/>
    <col min="5" max="5" width="13.42578125" customWidth="1"/>
    <col min="6" max="7" width="14.28515625" customWidth="1"/>
    <col min="8" max="8" width="14.5703125" customWidth="1"/>
    <col min="9" max="9" width="14.28515625" customWidth="1"/>
    <col min="10" max="10" width="14.85546875" customWidth="1"/>
    <col min="11" max="11" width="15.5703125" customWidth="1"/>
    <col min="12" max="12" width="13.85546875" customWidth="1"/>
    <col min="13" max="13" width="14.5703125" customWidth="1"/>
  </cols>
  <sheetData>
    <row r="1" spans="1:14" ht="15.75">
      <c r="A1" s="253"/>
      <c r="B1" s="255" t="s">
        <v>131</v>
      </c>
      <c r="C1" s="417" t="s">
        <v>680</v>
      </c>
      <c r="D1" s="418"/>
      <c r="E1" s="276"/>
      <c r="F1" s="253"/>
      <c r="G1" s="256"/>
      <c r="H1" s="253"/>
      <c r="I1" s="296"/>
      <c r="J1" s="297"/>
      <c r="K1" s="253"/>
      <c r="L1" s="253"/>
      <c r="M1" s="253"/>
      <c r="N1" s="253"/>
    </row>
    <row r="2" spans="1:14" ht="15.75">
      <c r="A2" s="253"/>
      <c r="B2" s="255" t="s">
        <v>78</v>
      </c>
      <c r="C2" s="423">
        <v>43082</v>
      </c>
      <c r="D2" s="424"/>
      <c r="E2" s="257"/>
      <c r="F2" s="253"/>
      <c r="G2" s="288"/>
      <c r="H2" s="298"/>
      <c r="I2" s="296"/>
      <c r="J2" s="299"/>
      <c r="K2" s="253"/>
      <c r="L2" s="253"/>
      <c r="M2" s="272">
        <v>43082</v>
      </c>
      <c r="N2" s="289"/>
    </row>
    <row r="3" spans="1:14" ht="31.5">
      <c r="A3" s="253"/>
      <c r="B3" s="255" t="s">
        <v>80</v>
      </c>
      <c r="C3" s="425" t="s">
        <v>681</v>
      </c>
      <c r="D3" s="426"/>
      <c r="E3" s="258"/>
      <c r="F3" s="253"/>
      <c r="G3" s="256"/>
      <c r="H3" s="253"/>
      <c r="I3" s="300"/>
      <c r="J3" s="297"/>
      <c r="K3" s="253"/>
      <c r="L3" s="253"/>
      <c r="M3" s="253"/>
      <c r="N3" s="253"/>
    </row>
    <row r="4" spans="1:14" ht="15.75">
      <c r="A4" s="253"/>
      <c r="B4" s="259"/>
      <c r="C4" s="260"/>
      <c r="D4" s="253"/>
      <c r="E4" s="278"/>
      <c r="F4" s="253"/>
      <c r="G4" s="253"/>
      <c r="H4" s="253"/>
      <c r="I4" s="253"/>
      <c r="J4" s="253"/>
      <c r="K4" s="253"/>
      <c r="L4" s="253"/>
      <c r="M4" s="253"/>
      <c r="N4" s="253"/>
    </row>
    <row r="5" spans="1:14" ht="31.5" customHeight="1">
      <c r="A5" s="419" t="s">
        <v>134</v>
      </c>
      <c r="B5" s="422" t="s">
        <v>82</v>
      </c>
      <c r="C5" s="419" t="s">
        <v>83</v>
      </c>
      <c r="D5" s="422" t="s">
        <v>84</v>
      </c>
      <c r="E5" s="422" t="s">
        <v>85</v>
      </c>
      <c r="F5" s="422" t="s">
        <v>0</v>
      </c>
      <c r="G5" s="419" t="s">
        <v>1</v>
      </c>
      <c r="H5" s="427" t="s">
        <v>88</v>
      </c>
      <c r="I5" s="430" t="s">
        <v>682</v>
      </c>
      <c r="J5" s="433" t="s">
        <v>136</v>
      </c>
      <c r="K5" s="419" t="s">
        <v>2</v>
      </c>
      <c r="L5" s="419" t="s">
        <v>4</v>
      </c>
      <c r="M5" s="419" t="s">
        <v>6</v>
      </c>
      <c r="N5" s="419" t="s">
        <v>137</v>
      </c>
    </row>
    <row r="6" spans="1:14" ht="31.5" customHeight="1">
      <c r="A6" s="420"/>
      <c r="B6" s="422"/>
      <c r="C6" s="420"/>
      <c r="D6" s="422"/>
      <c r="E6" s="422"/>
      <c r="F6" s="422"/>
      <c r="G6" s="420"/>
      <c r="H6" s="428"/>
      <c r="I6" s="431"/>
      <c r="J6" s="434"/>
      <c r="K6" s="420"/>
      <c r="L6" s="420"/>
      <c r="M6" s="420"/>
      <c r="N6" s="420"/>
    </row>
    <row r="7" spans="1:14" ht="31.5" customHeight="1">
      <c r="A7" s="421"/>
      <c r="B7" s="422"/>
      <c r="C7" s="421"/>
      <c r="D7" s="422"/>
      <c r="E7" s="422"/>
      <c r="F7" s="422"/>
      <c r="G7" s="421"/>
      <c r="H7" s="429"/>
      <c r="I7" s="432"/>
      <c r="J7" s="435"/>
      <c r="K7" s="421"/>
      <c r="L7" s="421"/>
      <c r="M7" s="421"/>
      <c r="N7" s="421"/>
    </row>
    <row r="8" spans="1:14" s="149" customFormat="1" ht="165">
      <c r="A8" s="262">
        <v>1</v>
      </c>
      <c r="B8" s="273" t="s">
        <v>683</v>
      </c>
      <c r="C8" s="265" t="s">
        <v>684</v>
      </c>
      <c r="D8" s="264" t="s">
        <v>685</v>
      </c>
      <c r="E8" s="263" t="s">
        <v>686</v>
      </c>
      <c r="F8" s="283">
        <v>25000000</v>
      </c>
      <c r="G8" s="283">
        <v>24025424.530000001</v>
      </c>
      <c r="H8" s="301">
        <v>44067.5</v>
      </c>
      <c r="I8" s="302">
        <v>1</v>
      </c>
      <c r="J8" s="302">
        <v>0.3</v>
      </c>
      <c r="K8" s="284">
        <v>15804958.060000001</v>
      </c>
      <c r="L8" s="284">
        <v>8220466.4700000007</v>
      </c>
      <c r="M8" s="284">
        <v>0</v>
      </c>
      <c r="N8" s="285"/>
    </row>
    <row r="9" spans="1:14" s="149" customFormat="1" ht="180">
      <c r="A9" s="262">
        <v>2</v>
      </c>
      <c r="B9" s="273" t="s">
        <v>687</v>
      </c>
      <c r="C9" s="265" t="s">
        <v>688</v>
      </c>
      <c r="D9" s="264" t="s">
        <v>689</v>
      </c>
      <c r="E9" s="263" t="s">
        <v>686</v>
      </c>
      <c r="F9" s="283">
        <v>200000</v>
      </c>
      <c r="G9" s="283">
        <v>189755.87</v>
      </c>
      <c r="H9" s="301">
        <v>43571.708333333299</v>
      </c>
      <c r="I9" s="302">
        <v>0.6</v>
      </c>
      <c r="J9" s="302" t="s">
        <v>690</v>
      </c>
      <c r="K9" s="284">
        <v>113419.52</v>
      </c>
      <c r="L9" s="284">
        <v>76336.350000000006</v>
      </c>
      <c r="M9" s="284">
        <v>0</v>
      </c>
      <c r="N9" s="285"/>
    </row>
    <row r="10" spans="1:14" s="149" customFormat="1" ht="165">
      <c r="A10" s="262">
        <v>3</v>
      </c>
      <c r="B10" s="273" t="s">
        <v>691</v>
      </c>
      <c r="C10" s="265" t="s">
        <v>692</v>
      </c>
      <c r="D10" s="264" t="s">
        <v>693</v>
      </c>
      <c r="E10" s="263" t="s">
        <v>686</v>
      </c>
      <c r="F10" s="283">
        <v>1000000</v>
      </c>
      <c r="G10" s="283">
        <v>565745.78999999992</v>
      </c>
      <c r="H10" s="301">
        <v>43718.708333333299</v>
      </c>
      <c r="I10" s="302">
        <v>0.6</v>
      </c>
      <c r="J10" s="302">
        <v>0.11</v>
      </c>
      <c r="K10" s="284">
        <v>476630.78999999992</v>
      </c>
      <c r="L10" s="284">
        <v>89114.999999999985</v>
      </c>
      <c r="M10" s="284">
        <v>0</v>
      </c>
      <c r="N10" s="285"/>
    </row>
    <row r="11" spans="1:14" s="149" customFormat="1" ht="210">
      <c r="A11" s="262">
        <v>4</v>
      </c>
      <c r="B11" s="273" t="s">
        <v>694</v>
      </c>
      <c r="C11" s="265" t="s">
        <v>695</v>
      </c>
      <c r="D11" s="264" t="s">
        <v>696</v>
      </c>
      <c r="E11" s="263" t="s">
        <v>686</v>
      </c>
      <c r="F11" s="283">
        <v>225000</v>
      </c>
      <c r="G11" s="283">
        <v>147389.81</v>
      </c>
      <c r="H11" s="301">
        <v>43145.708333333299</v>
      </c>
      <c r="I11" s="302">
        <v>0.6</v>
      </c>
      <c r="J11" s="302" t="s">
        <v>690</v>
      </c>
      <c r="K11" s="284">
        <v>100047.05</v>
      </c>
      <c r="L11" s="284">
        <v>47342.759999999995</v>
      </c>
      <c r="M11" s="284">
        <v>0</v>
      </c>
      <c r="N11" s="285"/>
    </row>
    <row r="12" spans="1:14" s="149" customFormat="1" ht="180">
      <c r="A12" s="262">
        <v>5</v>
      </c>
      <c r="B12" s="273" t="s">
        <v>697</v>
      </c>
      <c r="C12" s="265" t="s">
        <v>698</v>
      </c>
      <c r="D12" s="266" t="s">
        <v>699</v>
      </c>
      <c r="E12" s="263" t="s">
        <v>686</v>
      </c>
      <c r="F12" s="283">
        <v>533000</v>
      </c>
      <c r="G12" s="283">
        <v>558681.46</v>
      </c>
      <c r="H12" s="301">
        <v>43175.708333333299</v>
      </c>
      <c r="I12" s="302">
        <v>1</v>
      </c>
      <c r="J12" s="302">
        <v>0.37</v>
      </c>
      <c r="K12" s="284">
        <v>233418.64</v>
      </c>
      <c r="L12" s="284">
        <v>325262.82</v>
      </c>
      <c r="M12" s="284">
        <v>0</v>
      </c>
      <c r="N12" s="291"/>
    </row>
    <row r="13" spans="1:14" s="149" customFormat="1" ht="210">
      <c r="A13" s="262">
        <v>6</v>
      </c>
      <c r="B13" s="273" t="s">
        <v>700</v>
      </c>
      <c r="C13" s="265" t="s">
        <v>701</v>
      </c>
      <c r="D13" s="264" t="s">
        <v>702</v>
      </c>
      <c r="E13" s="263" t="s">
        <v>686</v>
      </c>
      <c r="F13" s="283">
        <v>1200000</v>
      </c>
      <c r="G13" s="283">
        <v>5978779.1399999997</v>
      </c>
      <c r="H13" s="301">
        <v>43552.708333333299</v>
      </c>
      <c r="I13" s="302">
        <v>1</v>
      </c>
      <c r="J13" s="302">
        <v>0.13</v>
      </c>
      <c r="K13" s="284">
        <v>5384852.4900000002</v>
      </c>
      <c r="L13" s="284">
        <v>593926.64999999979</v>
      </c>
      <c r="M13" s="284">
        <v>0</v>
      </c>
      <c r="N13" s="285"/>
    </row>
    <row r="14" spans="1:14" s="149" customFormat="1" ht="180">
      <c r="A14" s="262">
        <v>7</v>
      </c>
      <c r="B14" s="273" t="s">
        <v>703</v>
      </c>
      <c r="C14" s="265" t="s">
        <v>704</v>
      </c>
      <c r="D14" s="264" t="s">
        <v>705</v>
      </c>
      <c r="E14" s="263" t="s">
        <v>686</v>
      </c>
      <c r="F14" s="283">
        <v>2000000</v>
      </c>
      <c r="G14" s="283">
        <v>1187240.31</v>
      </c>
      <c r="H14" s="301">
        <v>43297.708333333299</v>
      </c>
      <c r="I14" s="302">
        <v>1</v>
      </c>
      <c r="J14" s="302">
        <v>0.32</v>
      </c>
      <c r="K14" s="284">
        <v>591247.83000000007</v>
      </c>
      <c r="L14" s="284">
        <v>595992.48</v>
      </c>
      <c r="M14" s="284">
        <v>0</v>
      </c>
      <c r="N14" s="285"/>
    </row>
    <row r="15" spans="1:14" s="149" customFormat="1" ht="180">
      <c r="A15" s="262">
        <v>8</v>
      </c>
      <c r="B15" s="273" t="s">
        <v>706</v>
      </c>
      <c r="C15" s="265" t="s">
        <v>707</v>
      </c>
      <c r="D15" s="266" t="s">
        <v>708</v>
      </c>
      <c r="E15" s="263" t="s">
        <v>686</v>
      </c>
      <c r="F15" s="283">
        <v>500000</v>
      </c>
      <c r="G15" s="283">
        <v>253026.94</v>
      </c>
      <c r="H15" s="301">
        <v>44299.708333333299</v>
      </c>
      <c r="I15" s="302">
        <v>0.6</v>
      </c>
      <c r="J15" s="302" t="s">
        <v>690</v>
      </c>
      <c r="K15" s="284">
        <v>128733.70999999999</v>
      </c>
      <c r="L15" s="284">
        <v>124293.23000000001</v>
      </c>
      <c r="M15" s="284">
        <v>0</v>
      </c>
      <c r="N15" s="285"/>
    </row>
    <row r="16" spans="1:14" s="149" customFormat="1" ht="165">
      <c r="A16" s="262">
        <v>9</v>
      </c>
      <c r="B16" s="273" t="s">
        <v>709</v>
      </c>
      <c r="C16" s="265" t="s">
        <v>710</v>
      </c>
      <c r="D16" s="264" t="s">
        <v>711</v>
      </c>
      <c r="E16" s="263" t="s">
        <v>686</v>
      </c>
      <c r="F16" s="283">
        <v>250000</v>
      </c>
      <c r="G16" s="283">
        <v>332829.51999999996</v>
      </c>
      <c r="H16" s="301">
        <v>43882.708333333299</v>
      </c>
      <c r="I16" s="302">
        <v>0.3</v>
      </c>
      <c r="J16" s="302" t="s">
        <v>690</v>
      </c>
      <c r="K16" s="284">
        <v>172022.56</v>
      </c>
      <c r="L16" s="284">
        <v>160806.95999999996</v>
      </c>
      <c r="M16" s="284">
        <v>0</v>
      </c>
      <c r="N16" s="285"/>
    </row>
    <row r="17" spans="1:14" s="149" customFormat="1" ht="135">
      <c r="A17" s="262">
        <v>10</v>
      </c>
      <c r="B17" s="273" t="s">
        <v>712</v>
      </c>
      <c r="C17" s="265" t="s">
        <v>713</v>
      </c>
      <c r="D17" s="264" t="s">
        <v>714</v>
      </c>
      <c r="E17" s="263" t="s">
        <v>686</v>
      </c>
      <c r="F17" s="283">
        <v>400000</v>
      </c>
      <c r="G17" s="283">
        <v>223146.97</v>
      </c>
      <c r="H17" s="301">
        <v>43836</v>
      </c>
      <c r="I17" s="302">
        <v>0.3</v>
      </c>
      <c r="J17" s="302">
        <v>0</v>
      </c>
      <c r="K17" s="284">
        <v>129018.95</v>
      </c>
      <c r="L17" s="284">
        <v>94128.02</v>
      </c>
      <c r="M17" s="284">
        <v>0</v>
      </c>
      <c r="N17" s="285"/>
    </row>
    <row r="18" spans="1:14" s="149" customFormat="1" ht="150">
      <c r="A18" s="262">
        <v>11</v>
      </c>
      <c r="B18" s="273" t="s">
        <v>715</v>
      </c>
      <c r="C18" s="265" t="s">
        <v>716</v>
      </c>
      <c r="D18" s="264" t="s">
        <v>717</v>
      </c>
      <c r="E18" s="263" t="s">
        <v>686</v>
      </c>
      <c r="F18" s="283">
        <v>650000</v>
      </c>
      <c r="G18" s="283">
        <v>771291.79999999993</v>
      </c>
      <c r="H18" s="301">
        <v>43259.708333333299</v>
      </c>
      <c r="I18" s="302">
        <v>1</v>
      </c>
      <c r="J18" s="302">
        <v>0.5</v>
      </c>
      <c r="K18" s="284">
        <v>305254.28000000003</v>
      </c>
      <c r="L18" s="284">
        <v>466037.5199999999</v>
      </c>
      <c r="M18" s="284">
        <v>0</v>
      </c>
      <c r="N18" s="285"/>
    </row>
    <row r="19" spans="1:14" s="149" customFormat="1" ht="270">
      <c r="A19" s="262">
        <v>12</v>
      </c>
      <c r="B19" s="273" t="s">
        <v>718</v>
      </c>
      <c r="C19" s="265" t="s">
        <v>719</v>
      </c>
      <c r="D19" s="264" t="s">
        <v>720</v>
      </c>
      <c r="E19" s="263" t="s">
        <v>686</v>
      </c>
      <c r="F19" s="283">
        <v>4000000</v>
      </c>
      <c r="G19" s="283">
        <v>3677648.92</v>
      </c>
      <c r="H19" s="301">
        <v>43493.708333333299</v>
      </c>
      <c r="I19" s="302">
        <v>1</v>
      </c>
      <c r="J19" s="302">
        <v>0.09</v>
      </c>
      <c r="K19" s="284">
        <v>3178142.62</v>
      </c>
      <c r="L19" s="284">
        <v>499506.30000000005</v>
      </c>
      <c r="M19" s="284">
        <v>0</v>
      </c>
      <c r="N19" s="285"/>
    </row>
    <row r="20" spans="1:14" s="149" customFormat="1" ht="120">
      <c r="A20" s="262">
        <v>13</v>
      </c>
      <c r="B20" s="273" t="s">
        <v>721</v>
      </c>
      <c r="C20" s="265" t="s">
        <v>722</v>
      </c>
      <c r="D20" s="264" t="s">
        <v>723</v>
      </c>
      <c r="E20" s="263" t="s">
        <v>686</v>
      </c>
      <c r="F20" s="283">
        <v>1000000</v>
      </c>
      <c r="G20" s="283">
        <v>922717.48</v>
      </c>
      <c r="H20" s="301">
        <v>43481.708333333299</v>
      </c>
      <c r="I20" s="302">
        <v>1</v>
      </c>
      <c r="J20" s="302" t="s">
        <v>690</v>
      </c>
      <c r="K20" s="284">
        <v>843982.57</v>
      </c>
      <c r="L20" s="284">
        <v>78734.909999999989</v>
      </c>
      <c r="M20" s="284">
        <v>0</v>
      </c>
      <c r="N20" s="285"/>
    </row>
    <row r="21" spans="1:14" s="149" customFormat="1" ht="165">
      <c r="A21" s="262">
        <v>14</v>
      </c>
      <c r="B21" s="273" t="s">
        <v>724</v>
      </c>
      <c r="C21" s="265" t="s">
        <v>725</v>
      </c>
      <c r="D21" s="264" t="s">
        <v>726</v>
      </c>
      <c r="E21" s="263" t="s">
        <v>686</v>
      </c>
      <c r="F21" s="283">
        <v>830000</v>
      </c>
      <c r="G21" s="283">
        <v>73125.709999999963</v>
      </c>
      <c r="H21" s="301">
        <v>43895</v>
      </c>
      <c r="I21" s="302">
        <v>1</v>
      </c>
      <c r="J21" s="302">
        <v>0</v>
      </c>
      <c r="K21" s="284">
        <v>-8.517631044924201E-12</v>
      </c>
      <c r="L21" s="284">
        <v>73125.709999999977</v>
      </c>
      <c r="M21" s="284">
        <v>0</v>
      </c>
      <c r="N21" s="291"/>
    </row>
    <row r="22" spans="1:14" s="149" customFormat="1" ht="150">
      <c r="A22" s="262">
        <v>15</v>
      </c>
      <c r="B22" s="273" t="s">
        <v>727</v>
      </c>
      <c r="C22" s="265" t="s">
        <v>728</v>
      </c>
      <c r="D22" s="264" t="s">
        <v>729</v>
      </c>
      <c r="E22" s="263" t="s">
        <v>686</v>
      </c>
      <c r="F22" s="283">
        <v>480000</v>
      </c>
      <c r="G22" s="283">
        <v>492372.62</v>
      </c>
      <c r="H22" s="301">
        <v>43481.708333333299</v>
      </c>
      <c r="I22" s="302">
        <v>1</v>
      </c>
      <c r="J22" s="302" t="s">
        <v>690</v>
      </c>
      <c r="K22" s="284">
        <v>346959.1</v>
      </c>
      <c r="L22" s="284">
        <v>145413.51999999999</v>
      </c>
      <c r="M22" s="284">
        <v>0</v>
      </c>
      <c r="N22" s="285"/>
    </row>
    <row r="23" spans="1:14" s="149" customFormat="1" ht="150">
      <c r="A23" s="262">
        <v>16</v>
      </c>
      <c r="B23" s="273" t="s">
        <v>730</v>
      </c>
      <c r="C23" s="265" t="s">
        <v>731</v>
      </c>
      <c r="D23" s="274" t="s">
        <v>732</v>
      </c>
      <c r="E23" s="263" t="s">
        <v>686</v>
      </c>
      <c r="F23" s="283">
        <v>2713100</v>
      </c>
      <c r="G23" s="283">
        <v>1805318.19</v>
      </c>
      <c r="H23" s="301">
        <v>43112</v>
      </c>
      <c r="I23" s="302">
        <v>1</v>
      </c>
      <c r="J23" s="302">
        <v>0.79</v>
      </c>
      <c r="K23" s="284">
        <v>471263.64000000013</v>
      </c>
      <c r="L23" s="284">
        <v>1334054.5499999998</v>
      </c>
      <c r="M23" s="284">
        <v>0</v>
      </c>
      <c r="N23" s="285"/>
    </row>
    <row r="24" spans="1:14" s="149" customFormat="1" ht="120">
      <c r="A24" s="262">
        <v>17</v>
      </c>
      <c r="B24" s="273" t="s">
        <v>733</v>
      </c>
      <c r="C24" s="265" t="s">
        <v>734</v>
      </c>
      <c r="D24" s="264" t="s">
        <v>735</v>
      </c>
      <c r="E24" s="263" t="s">
        <v>686</v>
      </c>
      <c r="F24" s="283">
        <v>413600</v>
      </c>
      <c r="G24" s="283">
        <v>759999.36</v>
      </c>
      <c r="H24" s="301">
        <v>43110.708333333299</v>
      </c>
      <c r="I24" s="302">
        <v>1</v>
      </c>
      <c r="J24" s="302">
        <v>0.74</v>
      </c>
      <c r="K24" s="284">
        <v>339555.69</v>
      </c>
      <c r="L24" s="284">
        <v>420443.67</v>
      </c>
      <c r="M24" s="284">
        <v>0</v>
      </c>
      <c r="N24" s="285"/>
    </row>
    <row r="25" spans="1:14" s="149" customFormat="1" ht="165">
      <c r="A25" s="262">
        <v>18</v>
      </c>
      <c r="B25" s="273" t="s">
        <v>736</v>
      </c>
      <c r="C25" s="265" t="s">
        <v>737</v>
      </c>
      <c r="D25" s="264" t="s">
        <v>738</v>
      </c>
      <c r="E25" s="263" t="s">
        <v>686</v>
      </c>
      <c r="F25" s="283">
        <v>306800</v>
      </c>
      <c r="G25" s="283">
        <v>326622.36</v>
      </c>
      <c r="H25" s="301">
        <v>43157.708333333299</v>
      </c>
      <c r="I25" s="302">
        <v>1</v>
      </c>
      <c r="J25" s="302">
        <v>0.42</v>
      </c>
      <c r="K25" s="284">
        <v>174746</v>
      </c>
      <c r="L25" s="284">
        <v>151876.35999999999</v>
      </c>
      <c r="M25" s="284">
        <v>0</v>
      </c>
      <c r="N25" s="285"/>
    </row>
    <row r="26" spans="1:14" s="149" customFormat="1" ht="180">
      <c r="A26" s="267">
        <v>19</v>
      </c>
      <c r="B26" s="281" t="s">
        <v>739</v>
      </c>
      <c r="C26" s="268" t="s">
        <v>740</v>
      </c>
      <c r="D26" s="269" t="s">
        <v>741</v>
      </c>
      <c r="E26" s="270" t="s">
        <v>742</v>
      </c>
      <c r="F26" s="282">
        <v>4131500</v>
      </c>
      <c r="G26" s="282">
        <v>2203801.65</v>
      </c>
      <c r="H26" s="293">
        <v>44701.708333333299</v>
      </c>
      <c r="I26" s="294">
        <v>0.1</v>
      </c>
      <c r="J26" s="294" t="s">
        <v>690</v>
      </c>
      <c r="K26" s="295">
        <v>1957929.55</v>
      </c>
      <c r="L26" s="295">
        <v>245872.09999999998</v>
      </c>
      <c r="M26" s="295">
        <v>0</v>
      </c>
      <c r="N26" s="286"/>
    </row>
    <row r="27" spans="1:14" s="149" customFormat="1" ht="195">
      <c r="A27" s="262">
        <v>20</v>
      </c>
      <c r="B27" s="273" t="s">
        <v>743</v>
      </c>
      <c r="C27" s="265" t="s">
        <v>744</v>
      </c>
      <c r="D27" s="264" t="s">
        <v>745</v>
      </c>
      <c r="E27" s="263" t="s">
        <v>686</v>
      </c>
      <c r="F27" s="283">
        <v>350000</v>
      </c>
      <c r="G27" s="283">
        <v>350000</v>
      </c>
      <c r="H27" s="301">
        <v>44501.708333333299</v>
      </c>
      <c r="I27" s="302">
        <v>0.1</v>
      </c>
      <c r="J27" s="302" t="s">
        <v>690</v>
      </c>
      <c r="K27" s="284">
        <v>249361.46</v>
      </c>
      <c r="L27" s="284">
        <v>100638.54</v>
      </c>
      <c r="M27" s="284">
        <v>0</v>
      </c>
      <c r="N27" s="285"/>
    </row>
    <row r="28" spans="1:14" s="149" customFormat="1" ht="195">
      <c r="A28" s="262">
        <v>21</v>
      </c>
      <c r="B28" s="273" t="s">
        <v>746</v>
      </c>
      <c r="C28" s="265" t="s">
        <v>747</v>
      </c>
      <c r="D28" s="264" t="s">
        <v>748</v>
      </c>
      <c r="E28" s="263" t="s">
        <v>686</v>
      </c>
      <c r="F28" s="283">
        <v>1500000</v>
      </c>
      <c r="G28" s="283">
        <v>263410.20999999996</v>
      </c>
      <c r="H28" s="301">
        <v>43434</v>
      </c>
      <c r="I28" s="302">
        <v>0.1</v>
      </c>
      <c r="J28" s="302">
        <v>0</v>
      </c>
      <c r="K28" s="284">
        <v>239737.08</v>
      </c>
      <c r="L28" s="284">
        <v>23673.13</v>
      </c>
      <c r="M28" s="284">
        <v>0</v>
      </c>
      <c r="N28" s="285"/>
    </row>
    <row r="29" spans="1:14" s="149" customFormat="1" ht="165">
      <c r="A29" s="267">
        <v>22</v>
      </c>
      <c r="B29" s="281" t="s">
        <v>749</v>
      </c>
      <c r="C29" s="268" t="s">
        <v>750</v>
      </c>
      <c r="D29" s="269" t="s">
        <v>751</v>
      </c>
      <c r="E29" s="270" t="s">
        <v>742</v>
      </c>
      <c r="F29" s="282">
        <v>1027000</v>
      </c>
      <c r="G29" s="282">
        <v>657520.7699999999</v>
      </c>
      <c r="H29" s="293">
        <v>43025.708333333299</v>
      </c>
      <c r="I29" s="294">
        <v>1</v>
      </c>
      <c r="J29" s="294">
        <v>1</v>
      </c>
      <c r="K29" s="295">
        <v>89450.2</v>
      </c>
      <c r="L29" s="295">
        <v>568070.56999999995</v>
      </c>
      <c r="M29" s="295">
        <v>0</v>
      </c>
      <c r="N29" s="286"/>
    </row>
    <row r="30" spans="1:14" s="149" customFormat="1" ht="150">
      <c r="A30" s="267">
        <v>23</v>
      </c>
      <c r="B30" s="281" t="s">
        <v>752</v>
      </c>
      <c r="C30" s="268" t="s">
        <v>753</v>
      </c>
      <c r="D30" s="269" t="s">
        <v>754</v>
      </c>
      <c r="E30" s="270" t="s">
        <v>742</v>
      </c>
      <c r="F30" s="282">
        <v>968500</v>
      </c>
      <c r="G30" s="282">
        <v>896884.19</v>
      </c>
      <c r="H30" s="293">
        <v>43361.708333333299</v>
      </c>
      <c r="I30" s="294">
        <v>1</v>
      </c>
      <c r="J30" s="294">
        <v>0.35</v>
      </c>
      <c r="K30" s="295">
        <v>651777.22</v>
      </c>
      <c r="L30" s="295">
        <v>245106.97</v>
      </c>
      <c r="M30" s="295">
        <v>0</v>
      </c>
      <c r="N30" s="286"/>
    </row>
    <row r="31" spans="1:14" s="149" customFormat="1" ht="180">
      <c r="A31" s="262">
        <v>24</v>
      </c>
      <c r="B31" s="273" t="s">
        <v>755</v>
      </c>
      <c r="C31" s="265" t="s">
        <v>756</v>
      </c>
      <c r="D31" s="264" t="s">
        <v>757</v>
      </c>
      <c r="E31" s="263" t="s">
        <v>686</v>
      </c>
      <c r="F31" s="283">
        <v>150000</v>
      </c>
      <c r="G31" s="283">
        <v>97304.89</v>
      </c>
      <c r="H31" s="301">
        <v>44034.708333333299</v>
      </c>
      <c r="I31" s="302">
        <v>0.3</v>
      </c>
      <c r="J31" s="302" t="s">
        <v>690</v>
      </c>
      <c r="K31" s="284">
        <v>75434.81</v>
      </c>
      <c r="L31" s="284">
        <v>21870.080000000002</v>
      </c>
      <c r="M31" s="284">
        <v>0</v>
      </c>
      <c r="N31" s="285"/>
    </row>
    <row r="32" spans="1:14" s="149" customFormat="1" ht="150">
      <c r="A32" s="267">
        <v>25</v>
      </c>
      <c r="B32" s="281" t="s">
        <v>758</v>
      </c>
      <c r="C32" s="268" t="s">
        <v>759</v>
      </c>
      <c r="D32" s="269" t="s">
        <v>760</v>
      </c>
      <c r="E32" s="270" t="s">
        <v>742</v>
      </c>
      <c r="F32" s="282">
        <v>507000</v>
      </c>
      <c r="G32" s="282">
        <v>443709.25000000006</v>
      </c>
      <c r="H32" s="293">
        <v>43245.708333333299</v>
      </c>
      <c r="I32" s="294">
        <v>1</v>
      </c>
      <c r="J32" s="294">
        <v>0.17</v>
      </c>
      <c r="K32" s="295">
        <v>399485.29000000004</v>
      </c>
      <c r="L32" s="295">
        <v>44223.96</v>
      </c>
      <c r="M32" s="295">
        <v>0</v>
      </c>
      <c r="N32" s="286"/>
    </row>
    <row r="33" spans="1:14" s="149" customFormat="1" ht="330">
      <c r="A33" s="262">
        <v>26</v>
      </c>
      <c r="B33" s="273" t="s">
        <v>761</v>
      </c>
      <c r="C33" s="265" t="s">
        <v>762</v>
      </c>
      <c r="D33" s="264" t="s">
        <v>763</v>
      </c>
      <c r="E33" s="263" t="s">
        <v>686</v>
      </c>
      <c r="F33" s="283">
        <v>325000</v>
      </c>
      <c r="G33" s="283">
        <v>46396.829999999987</v>
      </c>
      <c r="H33" s="301">
        <v>43725</v>
      </c>
      <c r="I33" s="302">
        <v>0.3</v>
      </c>
      <c r="J33" s="302">
        <v>0</v>
      </c>
      <c r="K33" s="284">
        <v>-9.6633812063373605E-13</v>
      </c>
      <c r="L33" s="284">
        <v>46396.829999999987</v>
      </c>
      <c r="M33" s="284">
        <v>0</v>
      </c>
      <c r="N33" s="291"/>
    </row>
    <row r="34" spans="1:14" s="149" customFormat="1" ht="180">
      <c r="A34" s="262">
        <v>27</v>
      </c>
      <c r="B34" s="273" t="s">
        <v>764</v>
      </c>
      <c r="C34" s="265" t="s">
        <v>765</v>
      </c>
      <c r="D34" s="266" t="s">
        <v>766</v>
      </c>
      <c r="E34" s="263" t="s">
        <v>686</v>
      </c>
      <c r="F34" s="283">
        <v>106000</v>
      </c>
      <c r="G34" s="283">
        <v>1114406.8900000001</v>
      </c>
      <c r="H34" s="301">
        <v>43951.708333333299</v>
      </c>
      <c r="I34" s="302">
        <v>0.6</v>
      </c>
      <c r="J34" s="302" t="s">
        <v>690</v>
      </c>
      <c r="K34" s="284">
        <v>1002225.26</v>
      </c>
      <c r="L34" s="284">
        <v>112181.63</v>
      </c>
      <c r="M34" s="284">
        <v>0</v>
      </c>
      <c r="N34" s="285"/>
    </row>
    <row r="35" spans="1:14" s="149" customFormat="1" ht="180">
      <c r="A35" s="262">
        <v>28</v>
      </c>
      <c r="B35" s="273" t="s">
        <v>767</v>
      </c>
      <c r="C35" s="265" t="s">
        <v>768</v>
      </c>
      <c r="D35" s="264" t="s">
        <v>769</v>
      </c>
      <c r="E35" s="263" t="s">
        <v>686</v>
      </c>
      <c r="F35" s="283">
        <v>834600</v>
      </c>
      <c r="G35" s="283">
        <v>565762.56000000006</v>
      </c>
      <c r="H35" s="301">
        <v>43242.708333333299</v>
      </c>
      <c r="I35" s="302">
        <v>1</v>
      </c>
      <c r="J35" s="302">
        <v>0.33</v>
      </c>
      <c r="K35" s="284">
        <v>344707.23</v>
      </c>
      <c r="L35" s="284">
        <v>221055.33000000002</v>
      </c>
      <c r="M35" s="284">
        <v>0</v>
      </c>
      <c r="N35" s="285"/>
    </row>
    <row r="36" spans="1:14" s="149" customFormat="1" ht="195">
      <c r="A36" s="262">
        <v>29</v>
      </c>
      <c r="B36" s="273" t="s">
        <v>770</v>
      </c>
      <c r="C36" s="265" t="s">
        <v>771</v>
      </c>
      <c r="D36" s="264" t="s">
        <v>772</v>
      </c>
      <c r="E36" s="263" t="s">
        <v>686</v>
      </c>
      <c r="F36" s="283">
        <v>390000</v>
      </c>
      <c r="G36" s="283">
        <v>240164.48999999996</v>
      </c>
      <c r="H36" s="301">
        <v>43587.708333333299</v>
      </c>
      <c r="I36" s="302">
        <v>0.6</v>
      </c>
      <c r="J36" s="302" t="s">
        <v>690</v>
      </c>
      <c r="K36" s="284">
        <v>9477.5899999999874</v>
      </c>
      <c r="L36" s="284">
        <v>230686.89999999997</v>
      </c>
      <c r="M36" s="284">
        <v>0</v>
      </c>
      <c r="N36" s="285"/>
    </row>
    <row r="37" spans="1:14" s="149" customFormat="1" ht="165">
      <c r="A37" s="262">
        <v>30</v>
      </c>
      <c r="B37" s="273" t="s">
        <v>773</v>
      </c>
      <c r="C37" s="265" t="s">
        <v>774</v>
      </c>
      <c r="D37" s="264" t="s">
        <v>775</v>
      </c>
      <c r="E37" s="263" t="s">
        <v>686</v>
      </c>
      <c r="F37" s="283">
        <v>587500</v>
      </c>
      <c r="G37" s="283">
        <v>521380.82</v>
      </c>
      <c r="H37" s="301">
        <v>44011.708333333299</v>
      </c>
      <c r="I37" s="302">
        <v>0.1</v>
      </c>
      <c r="J37" s="302" t="s">
        <v>690</v>
      </c>
      <c r="K37" s="284">
        <v>456036.18</v>
      </c>
      <c r="L37" s="284">
        <v>65344.639999999999</v>
      </c>
      <c r="M37" s="284">
        <v>0</v>
      </c>
      <c r="N37" s="291"/>
    </row>
    <row r="38" spans="1:14" s="149" customFormat="1" ht="180">
      <c r="A38" s="262">
        <v>31</v>
      </c>
      <c r="B38" s="273" t="s">
        <v>776</v>
      </c>
      <c r="C38" s="265" t="s">
        <v>777</v>
      </c>
      <c r="D38" s="280" t="s">
        <v>778</v>
      </c>
      <c r="E38" s="263" t="s">
        <v>686</v>
      </c>
      <c r="F38" s="283">
        <v>859800</v>
      </c>
      <c r="G38" s="283">
        <v>191681.34999999998</v>
      </c>
      <c r="H38" s="301">
        <v>43156</v>
      </c>
      <c r="I38" s="302">
        <v>1</v>
      </c>
      <c r="J38" s="302">
        <v>0</v>
      </c>
      <c r="K38" s="284">
        <v>73988.199999999983</v>
      </c>
      <c r="L38" s="284">
        <v>117693.15</v>
      </c>
      <c r="M38" s="284">
        <v>0</v>
      </c>
      <c r="N38" s="285"/>
    </row>
    <row r="39" spans="1:14" s="149" customFormat="1" ht="135">
      <c r="A39" s="262">
        <v>32</v>
      </c>
      <c r="B39" s="273" t="s">
        <v>779</v>
      </c>
      <c r="C39" s="265" t="s">
        <v>780</v>
      </c>
      <c r="D39" s="264" t="s">
        <v>781</v>
      </c>
      <c r="E39" s="263" t="s">
        <v>686</v>
      </c>
      <c r="F39" s="283">
        <v>1000000</v>
      </c>
      <c r="G39" s="283">
        <v>1180657.3900000001</v>
      </c>
      <c r="H39" s="301">
        <v>44069.708333333299</v>
      </c>
      <c r="I39" s="302">
        <v>0.6</v>
      </c>
      <c r="J39" s="302" t="s">
        <v>690</v>
      </c>
      <c r="K39" s="284">
        <v>783943.13</v>
      </c>
      <c r="L39" s="284">
        <v>396714.26</v>
      </c>
      <c r="M39" s="284">
        <v>0</v>
      </c>
      <c r="N39" s="285"/>
    </row>
    <row r="40" spans="1:14" s="149" customFormat="1" ht="195">
      <c r="A40" s="262">
        <v>33</v>
      </c>
      <c r="B40" s="273" t="s">
        <v>782</v>
      </c>
      <c r="C40" s="265" t="s">
        <v>783</v>
      </c>
      <c r="D40" s="274" t="s">
        <v>784</v>
      </c>
      <c r="E40" s="263" t="s">
        <v>686</v>
      </c>
      <c r="F40" s="283">
        <v>978400</v>
      </c>
      <c r="G40" s="283">
        <v>2030390.7800000005</v>
      </c>
      <c r="H40" s="301">
        <v>43111</v>
      </c>
      <c r="I40" s="302">
        <v>1</v>
      </c>
      <c r="J40" s="302">
        <v>0.7</v>
      </c>
      <c r="K40" s="284">
        <v>1184586.2800000005</v>
      </c>
      <c r="L40" s="284">
        <v>845804.5</v>
      </c>
      <c r="M40" s="284">
        <v>0</v>
      </c>
      <c r="N40" s="285"/>
    </row>
    <row r="41" spans="1:14" s="149" customFormat="1" ht="195">
      <c r="A41" s="262">
        <v>34</v>
      </c>
      <c r="B41" s="273" t="s">
        <v>785</v>
      </c>
      <c r="C41" s="265" t="s">
        <v>786</v>
      </c>
      <c r="D41" s="264" t="s">
        <v>787</v>
      </c>
      <c r="E41" s="263" t="s">
        <v>686</v>
      </c>
      <c r="F41" s="283">
        <v>2444000</v>
      </c>
      <c r="G41" s="283">
        <v>2818549.22</v>
      </c>
      <c r="H41" s="301">
        <v>43383.708333333299</v>
      </c>
      <c r="I41" s="302">
        <v>1</v>
      </c>
      <c r="J41" s="302">
        <v>0.13</v>
      </c>
      <c r="K41" s="284">
        <v>2577934.75</v>
      </c>
      <c r="L41" s="284">
        <v>240614.47000000003</v>
      </c>
      <c r="M41" s="284">
        <v>0</v>
      </c>
      <c r="N41" s="291"/>
    </row>
    <row r="42" spans="1:14" s="149" customFormat="1" ht="210">
      <c r="A42" s="262">
        <v>35</v>
      </c>
      <c r="B42" s="273" t="s">
        <v>788</v>
      </c>
      <c r="C42" s="265" t="s">
        <v>789</v>
      </c>
      <c r="D42" s="264" t="s">
        <v>790</v>
      </c>
      <c r="E42" s="263" t="s">
        <v>686</v>
      </c>
      <c r="F42" s="283">
        <v>250000</v>
      </c>
      <c r="G42" s="283">
        <v>153619.9</v>
      </c>
      <c r="H42" s="301">
        <v>43315</v>
      </c>
      <c r="I42" s="302">
        <v>0.95</v>
      </c>
      <c r="J42" s="302">
        <v>0</v>
      </c>
      <c r="K42" s="284">
        <v>80194.59</v>
      </c>
      <c r="L42" s="284">
        <v>73425.31</v>
      </c>
      <c r="M42" s="284">
        <v>0</v>
      </c>
      <c r="N42" s="285"/>
    </row>
    <row r="43" spans="1:14" s="149" customFormat="1" ht="150">
      <c r="A43" s="262">
        <v>36</v>
      </c>
      <c r="B43" s="273" t="s">
        <v>791</v>
      </c>
      <c r="C43" s="265" t="s">
        <v>792</v>
      </c>
      <c r="D43" s="264" t="s">
        <v>793</v>
      </c>
      <c r="E43" s="263" t="s">
        <v>686</v>
      </c>
      <c r="F43" s="283">
        <v>598000</v>
      </c>
      <c r="G43" s="283">
        <v>1721569.8499999999</v>
      </c>
      <c r="H43" s="301">
        <v>43432.708333333299</v>
      </c>
      <c r="I43" s="302">
        <v>1</v>
      </c>
      <c r="J43" s="302">
        <v>0.17</v>
      </c>
      <c r="K43" s="284">
        <v>1472052.96</v>
      </c>
      <c r="L43" s="284">
        <v>249516.88999999998</v>
      </c>
      <c r="M43" s="284">
        <v>0</v>
      </c>
      <c r="N43" s="285"/>
    </row>
    <row r="44" spans="1:14" s="149" customFormat="1" ht="90">
      <c r="A44" s="262">
        <v>37</v>
      </c>
      <c r="B44" s="273" t="s">
        <v>794</v>
      </c>
      <c r="C44" s="275" t="s">
        <v>795</v>
      </c>
      <c r="D44" s="264" t="s">
        <v>796</v>
      </c>
      <c r="E44" s="263" t="s">
        <v>686</v>
      </c>
      <c r="F44" s="283">
        <v>1300000</v>
      </c>
      <c r="G44" s="283">
        <v>0</v>
      </c>
      <c r="H44" s="301" t="s">
        <v>142</v>
      </c>
      <c r="I44" s="302">
        <v>1</v>
      </c>
      <c r="J44" s="302">
        <v>0</v>
      </c>
      <c r="K44" s="284">
        <v>0</v>
      </c>
      <c r="L44" s="284">
        <v>0</v>
      </c>
      <c r="M44" s="284">
        <v>0</v>
      </c>
      <c r="N44" s="285"/>
    </row>
    <row r="45" spans="1:14" s="149" customFormat="1" ht="225">
      <c r="A45" s="262">
        <v>38</v>
      </c>
      <c r="B45" s="273" t="s">
        <v>797</v>
      </c>
      <c r="C45" s="265" t="s">
        <v>798</v>
      </c>
      <c r="D45" s="264" t="s">
        <v>799</v>
      </c>
      <c r="E45" s="263" t="s">
        <v>686</v>
      </c>
      <c r="F45" s="283">
        <v>4000000</v>
      </c>
      <c r="G45" s="283">
        <v>2564117.2400000002</v>
      </c>
      <c r="H45" s="301">
        <v>43507.708333333299</v>
      </c>
      <c r="I45" s="302">
        <v>1</v>
      </c>
      <c r="J45" s="302">
        <v>0.21</v>
      </c>
      <c r="K45" s="284">
        <v>1914992.6300000001</v>
      </c>
      <c r="L45" s="284">
        <v>649124.61</v>
      </c>
      <c r="M45" s="284">
        <v>0</v>
      </c>
      <c r="N45" s="285"/>
    </row>
    <row r="46" spans="1:14" s="149" customFormat="1" ht="225">
      <c r="A46" s="262">
        <v>39</v>
      </c>
      <c r="B46" s="273" t="s">
        <v>800</v>
      </c>
      <c r="C46" s="265" t="s">
        <v>801</v>
      </c>
      <c r="D46" s="264" t="s">
        <v>802</v>
      </c>
      <c r="E46" s="263" t="s">
        <v>686</v>
      </c>
      <c r="F46" s="283">
        <v>588000</v>
      </c>
      <c r="G46" s="283">
        <v>79659.609999999986</v>
      </c>
      <c r="H46" s="301">
        <v>44481.708333333299</v>
      </c>
      <c r="I46" s="302">
        <v>0.1</v>
      </c>
      <c r="J46" s="302">
        <v>0</v>
      </c>
      <c r="K46" s="284">
        <v>208.83999999999912</v>
      </c>
      <c r="L46" s="284">
        <v>79450.76999999999</v>
      </c>
      <c r="M46" s="284">
        <v>0</v>
      </c>
      <c r="N46" s="285"/>
    </row>
    <row r="47" spans="1:14" s="149" customFormat="1" ht="210">
      <c r="A47" s="262">
        <v>40</v>
      </c>
      <c r="B47" s="273" t="s">
        <v>803</v>
      </c>
      <c r="C47" s="265" t="s">
        <v>804</v>
      </c>
      <c r="D47" s="264" t="s">
        <v>805</v>
      </c>
      <c r="E47" s="263" t="s">
        <v>686</v>
      </c>
      <c r="F47" s="283">
        <v>240400</v>
      </c>
      <c r="G47" s="283">
        <v>70784.929999999993</v>
      </c>
      <c r="H47" s="301">
        <v>43354.708333333299</v>
      </c>
      <c r="I47" s="302">
        <v>0.6</v>
      </c>
      <c r="J47" s="302">
        <v>0</v>
      </c>
      <c r="K47" s="284">
        <v>30858</v>
      </c>
      <c r="L47" s="284">
        <v>39926.929999999993</v>
      </c>
      <c r="M47" s="284">
        <v>0</v>
      </c>
      <c r="N47" s="285"/>
    </row>
    <row r="48" spans="1:14" s="149" customFormat="1" ht="240">
      <c r="A48" s="267">
        <v>41</v>
      </c>
      <c r="B48" s="281" t="s">
        <v>806</v>
      </c>
      <c r="C48" s="268" t="s">
        <v>807</v>
      </c>
      <c r="D48" s="269" t="s">
        <v>808</v>
      </c>
      <c r="E48" s="270" t="s">
        <v>742</v>
      </c>
      <c r="F48" s="282">
        <v>1710000</v>
      </c>
      <c r="G48" s="282">
        <v>2927533.62</v>
      </c>
      <c r="H48" s="293">
        <v>43685.708333333299</v>
      </c>
      <c r="I48" s="294">
        <v>1</v>
      </c>
      <c r="J48" s="294">
        <v>0.3</v>
      </c>
      <c r="K48" s="295">
        <v>2628096.7000000002</v>
      </c>
      <c r="L48" s="295">
        <v>299436.92</v>
      </c>
      <c r="M48" s="295">
        <v>0</v>
      </c>
      <c r="N48" s="286"/>
    </row>
    <row r="49" spans="1:14" s="149" customFormat="1" ht="150">
      <c r="A49" s="262">
        <v>42</v>
      </c>
      <c r="B49" s="273" t="s">
        <v>809</v>
      </c>
      <c r="C49" s="265" t="s">
        <v>810</v>
      </c>
      <c r="D49" s="266" t="s">
        <v>811</v>
      </c>
      <c r="E49" s="263" t="s">
        <v>686</v>
      </c>
      <c r="F49" s="283">
        <v>850000</v>
      </c>
      <c r="G49" s="283">
        <v>250.39000000000001</v>
      </c>
      <c r="H49" s="301" t="s">
        <v>142</v>
      </c>
      <c r="I49" s="302">
        <v>0</v>
      </c>
      <c r="J49" s="302">
        <v>0</v>
      </c>
      <c r="K49" s="284">
        <v>0</v>
      </c>
      <c r="L49" s="284">
        <v>250.39000000000001</v>
      </c>
      <c r="M49" s="284">
        <v>0</v>
      </c>
      <c r="N49" s="285"/>
    </row>
    <row r="50" spans="1:14" s="149" customFormat="1" ht="165">
      <c r="A50" s="262">
        <v>43</v>
      </c>
      <c r="B50" s="273" t="s">
        <v>812</v>
      </c>
      <c r="C50" s="265" t="s">
        <v>813</v>
      </c>
      <c r="D50" s="264" t="s">
        <v>814</v>
      </c>
      <c r="E50" s="263" t="s">
        <v>686</v>
      </c>
      <c r="F50" s="283">
        <v>478800</v>
      </c>
      <c r="G50" s="283">
        <v>325046.73</v>
      </c>
      <c r="H50" s="301">
        <v>43075.708333333299</v>
      </c>
      <c r="I50" s="302">
        <v>1</v>
      </c>
      <c r="J50" s="302">
        <v>0.86</v>
      </c>
      <c r="K50" s="284">
        <v>185846.75</v>
      </c>
      <c r="L50" s="284">
        <v>139199.97999999998</v>
      </c>
      <c r="M50" s="284">
        <v>0</v>
      </c>
      <c r="N50" s="285"/>
    </row>
    <row r="51" spans="1:14" s="149" customFormat="1" ht="195">
      <c r="A51" s="262">
        <v>44</v>
      </c>
      <c r="B51" s="273" t="s">
        <v>815</v>
      </c>
      <c r="C51" s="275" t="s">
        <v>816</v>
      </c>
      <c r="D51" s="266" t="s">
        <v>817</v>
      </c>
      <c r="E51" s="263" t="s">
        <v>686</v>
      </c>
      <c r="F51" s="283">
        <v>144348</v>
      </c>
      <c r="G51" s="283">
        <v>0</v>
      </c>
      <c r="H51" s="301" t="s">
        <v>142</v>
      </c>
      <c r="I51" s="302">
        <v>0.6</v>
      </c>
      <c r="J51" s="302">
        <v>0</v>
      </c>
      <c r="K51" s="284">
        <v>0</v>
      </c>
      <c r="L51" s="284">
        <v>0</v>
      </c>
      <c r="M51" s="284">
        <v>0</v>
      </c>
      <c r="N51" s="285"/>
    </row>
    <row r="52" spans="1:14" s="149" customFormat="1" ht="165">
      <c r="A52" s="262">
        <v>45</v>
      </c>
      <c r="B52" s="273" t="s">
        <v>818</v>
      </c>
      <c r="C52" s="265" t="s">
        <v>819</v>
      </c>
      <c r="D52" s="264" t="s">
        <v>820</v>
      </c>
      <c r="E52" s="263" t="s">
        <v>686</v>
      </c>
      <c r="F52" s="283">
        <v>73152</v>
      </c>
      <c r="G52" s="283">
        <v>58984.000000000007</v>
      </c>
      <c r="H52" s="301">
        <v>42942.708333333299</v>
      </c>
      <c r="I52" s="302">
        <v>1</v>
      </c>
      <c r="J52" s="302">
        <v>1</v>
      </c>
      <c r="K52" s="284">
        <v>92</v>
      </c>
      <c r="L52" s="284">
        <v>58892.000000000007</v>
      </c>
      <c r="M52" s="284">
        <v>0</v>
      </c>
      <c r="N52" s="285"/>
    </row>
    <row r="53" spans="1:14" s="149" customFormat="1" ht="105">
      <c r="A53" s="262">
        <v>46</v>
      </c>
      <c r="B53" s="273" t="s">
        <v>127</v>
      </c>
      <c r="C53" s="265" t="s">
        <v>821</v>
      </c>
      <c r="D53" s="264" t="s">
        <v>822</v>
      </c>
      <c r="E53" s="263" t="s">
        <v>686</v>
      </c>
      <c r="F53" s="283">
        <v>8058550</v>
      </c>
      <c r="G53" s="283">
        <v>0</v>
      </c>
      <c r="H53" s="301" t="s">
        <v>142</v>
      </c>
      <c r="I53" s="302" t="s">
        <v>142</v>
      </c>
      <c r="J53" s="302" t="s">
        <v>142</v>
      </c>
      <c r="K53" s="284">
        <v>0</v>
      </c>
      <c r="L53" s="284">
        <v>0</v>
      </c>
      <c r="M53" s="284">
        <v>0</v>
      </c>
      <c r="N53" s="285"/>
    </row>
    <row r="54" spans="1:14" s="149" customFormat="1" ht="150">
      <c r="A54" s="262">
        <v>47</v>
      </c>
      <c r="B54" s="273" t="s">
        <v>823</v>
      </c>
      <c r="C54" s="265" t="s">
        <v>824</v>
      </c>
      <c r="D54" s="264" t="s">
        <v>825</v>
      </c>
      <c r="E54" s="263" t="s">
        <v>686</v>
      </c>
      <c r="F54" s="283">
        <v>300000</v>
      </c>
      <c r="G54" s="283">
        <v>425650.94999999995</v>
      </c>
      <c r="H54" s="301">
        <v>43179.708333333299</v>
      </c>
      <c r="I54" s="302">
        <v>1</v>
      </c>
      <c r="J54" s="302">
        <v>0.54</v>
      </c>
      <c r="K54" s="284">
        <v>262933.55</v>
      </c>
      <c r="L54" s="284">
        <v>162717.4</v>
      </c>
      <c r="M54" s="284">
        <v>0</v>
      </c>
      <c r="N54" s="285"/>
    </row>
    <row r="55" spans="1:14" s="149" customFormat="1" ht="120">
      <c r="A55" s="262">
        <v>48</v>
      </c>
      <c r="B55" s="273" t="s">
        <v>826</v>
      </c>
      <c r="C55" s="265" t="s">
        <v>827</v>
      </c>
      <c r="D55" s="264" t="s">
        <v>828</v>
      </c>
      <c r="E55" s="263" t="s">
        <v>686</v>
      </c>
      <c r="F55" s="283">
        <v>4380000</v>
      </c>
      <c r="G55" s="283">
        <v>4389000.3999999994</v>
      </c>
      <c r="H55" s="301">
        <v>43082.416666666701</v>
      </c>
      <c r="I55" s="302">
        <v>1</v>
      </c>
      <c r="J55" s="302">
        <v>0.99</v>
      </c>
      <c r="K55" s="284">
        <v>551988.16999999899</v>
      </c>
      <c r="L55" s="284">
        <v>3837012.2300000004</v>
      </c>
      <c r="M55" s="284">
        <v>0</v>
      </c>
      <c r="N55" s="285"/>
    </row>
    <row r="56" spans="1:14" s="149" customFormat="1" ht="225">
      <c r="A56" s="262">
        <v>49</v>
      </c>
      <c r="B56" s="273" t="s">
        <v>829</v>
      </c>
      <c r="C56" s="265" t="s">
        <v>830</v>
      </c>
      <c r="D56" s="264" t="s">
        <v>831</v>
      </c>
      <c r="E56" s="263" t="s">
        <v>686</v>
      </c>
      <c r="F56" s="283">
        <v>3558000</v>
      </c>
      <c r="G56" s="283">
        <v>3303772.4299999997</v>
      </c>
      <c r="H56" s="301">
        <v>43364.708333333299</v>
      </c>
      <c r="I56" s="302">
        <v>1</v>
      </c>
      <c r="J56" s="302">
        <v>0.28000000000000003</v>
      </c>
      <c r="K56" s="284">
        <v>2691857.3699999996</v>
      </c>
      <c r="L56" s="284">
        <v>611915.06000000006</v>
      </c>
      <c r="M56" s="284">
        <v>0</v>
      </c>
      <c r="N56" s="285"/>
    </row>
    <row r="57" spans="1:14" s="149" customFormat="1" ht="210">
      <c r="A57" s="262">
        <v>50</v>
      </c>
      <c r="B57" s="273" t="s">
        <v>832</v>
      </c>
      <c r="C57" s="275" t="s">
        <v>833</v>
      </c>
      <c r="D57" s="264" t="s">
        <v>834</v>
      </c>
      <c r="E57" s="263" t="s">
        <v>686</v>
      </c>
      <c r="F57" s="283">
        <v>279950</v>
      </c>
      <c r="G57" s="283">
        <v>450262.62</v>
      </c>
      <c r="H57" s="301">
        <v>43112.708333333299</v>
      </c>
      <c r="I57" s="302">
        <v>1</v>
      </c>
      <c r="J57" s="302">
        <v>0.98</v>
      </c>
      <c r="K57" s="284">
        <v>157787.91</v>
      </c>
      <c r="L57" s="284">
        <v>292474.71000000002</v>
      </c>
      <c r="M57" s="284">
        <v>0</v>
      </c>
      <c r="N57" s="285"/>
    </row>
    <row r="58" spans="1:14" s="149" customFormat="1" ht="165">
      <c r="A58" s="262">
        <v>51</v>
      </c>
      <c r="B58" s="273" t="s">
        <v>835</v>
      </c>
      <c r="C58" s="265" t="s">
        <v>836</v>
      </c>
      <c r="D58" s="264" t="s">
        <v>837</v>
      </c>
      <c r="E58" s="263" t="s">
        <v>686</v>
      </c>
      <c r="F58" s="283">
        <v>170000</v>
      </c>
      <c r="G58" s="283">
        <v>165202.99</v>
      </c>
      <c r="H58" s="301">
        <v>43077.708333333299</v>
      </c>
      <c r="I58" s="302">
        <v>1</v>
      </c>
      <c r="J58" s="302">
        <v>0.8</v>
      </c>
      <c r="K58" s="284">
        <v>37272.86</v>
      </c>
      <c r="L58" s="284">
        <v>127930.12999999999</v>
      </c>
      <c r="M58" s="284">
        <v>0</v>
      </c>
      <c r="N58" s="285"/>
    </row>
    <row r="59" spans="1:14" s="149" customFormat="1" ht="180">
      <c r="A59" s="262">
        <v>52</v>
      </c>
      <c r="B59" s="273" t="s">
        <v>838</v>
      </c>
      <c r="C59" s="265" t="s">
        <v>839</v>
      </c>
      <c r="D59" s="264" t="s">
        <v>840</v>
      </c>
      <c r="E59" s="263" t="s">
        <v>686</v>
      </c>
      <c r="F59" s="283">
        <v>365000</v>
      </c>
      <c r="G59" s="283">
        <v>509682.30999999994</v>
      </c>
      <c r="H59" s="301">
        <v>43334.5</v>
      </c>
      <c r="I59" s="302">
        <v>1</v>
      </c>
      <c r="J59" s="302">
        <v>0.41</v>
      </c>
      <c r="K59" s="284">
        <v>347551.73</v>
      </c>
      <c r="L59" s="284">
        <v>162130.57999999999</v>
      </c>
      <c r="M59" s="284">
        <v>0</v>
      </c>
      <c r="N59" s="285"/>
    </row>
    <row r="60" spans="1:14" s="149" customFormat="1" ht="165">
      <c r="A60" s="262">
        <v>53</v>
      </c>
      <c r="B60" s="273" t="s">
        <v>841</v>
      </c>
      <c r="C60" s="265" t="s">
        <v>842</v>
      </c>
      <c r="D60" s="264" t="s">
        <v>843</v>
      </c>
      <c r="E60" s="263" t="s">
        <v>686</v>
      </c>
      <c r="F60" s="283">
        <v>485000</v>
      </c>
      <c r="G60" s="283">
        <v>681824.87000000011</v>
      </c>
      <c r="H60" s="301">
        <v>43235.708333333299</v>
      </c>
      <c r="I60" s="302">
        <v>1</v>
      </c>
      <c r="J60" s="302">
        <v>0.39</v>
      </c>
      <c r="K60" s="284">
        <v>353629.65</v>
      </c>
      <c r="L60" s="284">
        <v>328195.22000000003</v>
      </c>
      <c r="M60" s="284">
        <v>0</v>
      </c>
      <c r="N60" s="285"/>
    </row>
    <row r="61" spans="1:14" s="149" customFormat="1" ht="180">
      <c r="A61" s="262">
        <v>54</v>
      </c>
      <c r="B61" s="273" t="s">
        <v>844</v>
      </c>
      <c r="C61" s="265" t="s">
        <v>845</v>
      </c>
      <c r="D61" s="264" t="s">
        <v>846</v>
      </c>
      <c r="E61" s="263" t="s">
        <v>686</v>
      </c>
      <c r="F61" s="283">
        <v>570000</v>
      </c>
      <c r="G61" s="283">
        <v>844690.09</v>
      </c>
      <c r="H61" s="301">
        <v>43095.708333333299</v>
      </c>
      <c r="I61" s="302">
        <v>1</v>
      </c>
      <c r="J61" s="302">
        <v>0.55000000000000004</v>
      </c>
      <c r="K61" s="284">
        <v>433121.3</v>
      </c>
      <c r="L61" s="284">
        <v>411568.79</v>
      </c>
      <c r="M61" s="284">
        <v>0</v>
      </c>
      <c r="N61" s="285"/>
    </row>
    <row r="62" spans="1:14" s="149" customFormat="1" ht="150">
      <c r="A62" s="262">
        <v>55</v>
      </c>
      <c r="B62" s="273" t="s">
        <v>847</v>
      </c>
      <c r="C62" s="265" t="s">
        <v>848</v>
      </c>
      <c r="D62" s="264" t="s">
        <v>849</v>
      </c>
      <c r="E62" s="263" t="s">
        <v>686</v>
      </c>
      <c r="F62" s="283">
        <v>317000</v>
      </c>
      <c r="G62" s="283">
        <v>0</v>
      </c>
      <c r="H62" s="301">
        <v>43552.708333333299</v>
      </c>
      <c r="I62" s="302">
        <v>0.3</v>
      </c>
      <c r="J62" s="302" t="s">
        <v>690</v>
      </c>
      <c r="K62" s="284">
        <v>0</v>
      </c>
      <c r="L62" s="284">
        <v>0</v>
      </c>
      <c r="M62" s="284">
        <v>0</v>
      </c>
      <c r="N62" s="285"/>
    </row>
    <row r="63" spans="1:14" s="149" customFormat="1" ht="105">
      <c r="A63" s="262">
        <v>56</v>
      </c>
      <c r="B63" s="273" t="s">
        <v>850</v>
      </c>
      <c r="C63" s="265" t="s">
        <v>851</v>
      </c>
      <c r="D63" s="266" t="s">
        <v>852</v>
      </c>
      <c r="E63" s="263" t="s">
        <v>686</v>
      </c>
      <c r="F63" s="283">
        <v>3000000</v>
      </c>
      <c r="G63" s="283">
        <v>605326.79</v>
      </c>
      <c r="H63" s="301">
        <v>43832.5</v>
      </c>
      <c r="I63" s="302">
        <v>0.3</v>
      </c>
      <c r="J63" s="302" t="s">
        <v>690</v>
      </c>
      <c r="K63" s="284">
        <v>457826.37</v>
      </c>
      <c r="L63" s="284">
        <v>147500.42000000001</v>
      </c>
      <c r="M63" s="284">
        <v>0</v>
      </c>
      <c r="N63" s="285"/>
    </row>
    <row r="64" spans="1:14" s="149" customFormat="1" ht="165">
      <c r="A64" s="262">
        <v>57</v>
      </c>
      <c r="B64" s="273" t="s">
        <v>853</v>
      </c>
      <c r="C64" s="265" t="s">
        <v>854</v>
      </c>
      <c r="D64" s="264" t="s">
        <v>855</v>
      </c>
      <c r="E64" s="263" t="s">
        <v>686</v>
      </c>
      <c r="F64" s="283">
        <v>225000</v>
      </c>
      <c r="G64" s="283">
        <v>58572.119999999995</v>
      </c>
      <c r="H64" s="301">
        <v>43357.708333333299</v>
      </c>
      <c r="I64" s="302">
        <v>1</v>
      </c>
      <c r="J64" s="302" t="s">
        <v>690</v>
      </c>
      <c r="K64" s="284">
        <v>13682.77</v>
      </c>
      <c r="L64" s="284">
        <v>44889.35</v>
      </c>
      <c r="M64" s="284">
        <v>0</v>
      </c>
      <c r="N64" s="291"/>
    </row>
    <row r="65" spans="1:14" s="149" customFormat="1" ht="165">
      <c r="A65" s="262">
        <v>58</v>
      </c>
      <c r="B65" s="273" t="s">
        <v>856</v>
      </c>
      <c r="C65" s="265" t="s">
        <v>857</v>
      </c>
      <c r="D65" s="266" t="s">
        <v>858</v>
      </c>
      <c r="E65" s="263" t="s">
        <v>686</v>
      </c>
      <c r="F65" s="283">
        <v>350000</v>
      </c>
      <c r="G65" s="283">
        <v>0</v>
      </c>
      <c r="H65" s="301" t="s">
        <v>142</v>
      </c>
      <c r="I65" s="302">
        <v>1</v>
      </c>
      <c r="J65" s="302">
        <v>0</v>
      </c>
      <c r="K65" s="284">
        <v>0</v>
      </c>
      <c r="L65" s="284">
        <v>0</v>
      </c>
      <c r="M65" s="284">
        <v>0</v>
      </c>
      <c r="N65" s="285"/>
    </row>
    <row r="66" spans="1:14" s="149" customFormat="1" ht="210">
      <c r="A66" s="262">
        <v>59</v>
      </c>
      <c r="B66" s="273" t="s">
        <v>859</v>
      </c>
      <c r="C66" s="265" t="s">
        <v>860</v>
      </c>
      <c r="D66" s="264" t="s">
        <v>861</v>
      </c>
      <c r="E66" s="263" t="s">
        <v>686</v>
      </c>
      <c r="F66" s="283">
        <v>150000</v>
      </c>
      <c r="G66" s="283">
        <v>852768.52999999991</v>
      </c>
      <c r="H66" s="301">
        <v>44179.708333333299</v>
      </c>
      <c r="I66" s="302">
        <v>0.1</v>
      </c>
      <c r="J66" s="302" t="s">
        <v>690</v>
      </c>
      <c r="K66" s="284">
        <v>809560.7</v>
      </c>
      <c r="L66" s="284">
        <v>43207.83</v>
      </c>
      <c r="M66" s="284">
        <v>0</v>
      </c>
      <c r="N66" s="291"/>
    </row>
    <row r="67" spans="1:14" s="149" customFormat="1" ht="180">
      <c r="A67" s="262">
        <v>60</v>
      </c>
      <c r="B67" s="273" t="s">
        <v>862</v>
      </c>
      <c r="C67" s="265" t="s">
        <v>863</v>
      </c>
      <c r="D67" s="264" t="s">
        <v>864</v>
      </c>
      <c r="E67" s="263" t="s">
        <v>686</v>
      </c>
      <c r="F67" s="283">
        <v>100000</v>
      </c>
      <c r="G67" s="283">
        <v>115956.21</v>
      </c>
      <c r="H67" s="301">
        <v>43301</v>
      </c>
      <c r="I67" s="302">
        <v>0.6</v>
      </c>
      <c r="J67" s="302">
        <v>0</v>
      </c>
      <c r="K67" s="284">
        <v>12088.949999999999</v>
      </c>
      <c r="L67" s="284">
        <v>103867.26000000001</v>
      </c>
      <c r="M67" s="284">
        <v>0</v>
      </c>
      <c r="N67" s="285"/>
    </row>
    <row r="68" spans="1:14" s="149" customFormat="1" ht="135">
      <c r="A68" s="267">
        <v>61</v>
      </c>
      <c r="B68" s="281" t="s">
        <v>865</v>
      </c>
      <c r="C68" s="268" t="s">
        <v>866</v>
      </c>
      <c r="D68" s="269" t="s">
        <v>867</v>
      </c>
      <c r="E68" s="270" t="s">
        <v>742</v>
      </c>
      <c r="F68" s="282">
        <v>598000</v>
      </c>
      <c r="G68" s="282">
        <v>526536.05000000005</v>
      </c>
      <c r="H68" s="293">
        <v>43315.5</v>
      </c>
      <c r="I68" s="294">
        <v>1</v>
      </c>
      <c r="J68" s="294">
        <v>0.17</v>
      </c>
      <c r="K68" s="295">
        <v>497035.8</v>
      </c>
      <c r="L68" s="295">
        <v>29500.25</v>
      </c>
      <c r="M68" s="295">
        <v>0</v>
      </c>
      <c r="N68" s="286"/>
    </row>
    <row r="69" spans="1:14" s="149" customFormat="1" ht="180">
      <c r="A69" s="262">
        <v>62</v>
      </c>
      <c r="B69" s="273" t="s">
        <v>868</v>
      </c>
      <c r="C69" s="265" t="s">
        <v>869</v>
      </c>
      <c r="D69" s="264" t="s">
        <v>870</v>
      </c>
      <c r="E69" s="263" t="s">
        <v>686</v>
      </c>
      <c r="F69" s="283">
        <v>0</v>
      </c>
      <c r="G69" s="283">
        <v>386949.82999999996</v>
      </c>
      <c r="H69" s="301" t="s">
        <v>142</v>
      </c>
      <c r="I69" s="302" t="s">
        <v>142</v>
      </c>
      <c r="J69" s="302">
        <v>1</v>
      </c>
      <c r="K69" s="284">
        <v>-1.1823431123048099E-11</v>
      </c>
      <c r="L69" s="284">
        <v>386949.82999999996</v>
      </c>
      <c r="M69" s="284">
        <v>0</v>
      </c>
      <c r="N69" s="285"/>
    </row>
    <row r="70" spans="1:14" s="149" customFormat="1" ht="135">
      <c r="A70" s="267">
        <v>63</v>
      </c>
      <c r="B70" s="281" t="s">
        <v>871</v>
      </c>
      <c r="C70" s="268" t="s">
        <v>872</v>
      </c>
      <c r="D70" s="269" t="s">
        <v>873</v>
      </c>
      <c r="E70" s="270" t="s">
        <v>742</v>
      </c>
      <c r="F70" s="282">
        <v>0</v>
      </c>
      <c r="G70" s="282">
        <v>413172</v>
      </c>
      <c r="H70" s="293">
        <v>43362.708333333299</v>
      </c>
      <c r="I70" s="294">
        <v>1</v>
      </c>
      <c r="J70" s="294">
        <v>0.12</v>
      </c>
      <c r="K70" s="295">
        <v>406053.79</v>
      </c>
      <c r="L70" s="295">
        <v>7118.2099999999991</v>
      </c>
      <c r="M70" s="295">
        <v>0</v>
      </c>
      <c r="N70" s="286"/>
    </row>
    <row r="71" spans="1:14" s="149" customFormat="1" ht="195">
      <c r="A71" s="267">
        <v>64</v>
      </c>
      <c r="B71" s="281" t="s">
        <v>874</v>
      </c>
      <c r="C71" s="268" t="s">
        <v>875</v>
      </c>
      <c r="D71" s="269" t="s">
        <v>876</v>
      </c>
      <c r="E71" s="270" t="s">
        <v>742</v>
      </c>
      <c r="F71" s="282">
        <v>0</v>
      </c>
      <c r="G71" s="282">
        <v>108850.85</v>
      </c>
      <c r="H71" s="293">
        <v>43195.708333333299</v>
      </c>
      <c r="I71" s="294">
        <v>1</v>
      </c>
      <c r="J71" s="294">
        <v>0.46</v>
      </c>
      <c r="K71" s="295">
        <v>102000</v>
      </c>
      <c r="L71" s="295">
        <v>6850.85</v>
      </c>
      <c r="M71" s="295">
        <v>0</v>
      </c>
      <c r="N71" s="286"/>
    </row>
    <row r="72" spans="1:14" s="149" customFormat="1" ht="180">
      <c r="A72" s="262">
        <v>65</v>
      </c>
      <c r="B72" s="273" t="s">
        <v>877</v>
      </c>
      <c r="C72" s="265" t="s">
        <v>878</v>
      </c>
      <c r="D72" s="264" t="s">
        <v>879</v>
      </c>
      <c r="E72" s="263" t="s">
        <v>686</v>
      </c>
      <c r="F72" s="283">
        <v>0</v>
      </c>
      <c r="G72" s="283">
        <v>25730.68</v>
      </c>
      <c r="H72" s="301">
        <v>43021.704444444404</v>
      </c>
      <c r="I72" s="302">
        <v>1</v>
      </c>
      <c r="J72" s="302">
        <v>1</v>
      </c>
      <c r="K72" s="284">
        <v>1.7763568394002501E-15</v>
      </c>
      <c r="L72" s="284">
        <v>25730.68</v>
      </c>
      <c r="M72" s="284">
        <v>0</v>
      </c>
      <c r="N72" s="291"/>
    </row>
    <row r="73" spans="1:14" s="149" customFormat="1" ht="180">
      <c r="A73" s="262">
        <v>66</v>
      </c>
      <c r="B73" s="273" t="s">
        <v>880</v>
      </c>
      <c r="C73" s="265" t="s">
        <v>881</v>
      </c>
      <c r="D73" s="264" t="s">
        <v>705</v>
      </c>
      <c r="E73" s="263" t="s">
        <v>686</v>
      </c>
      <c r="F73" s="283">
        <v>0</v>
      </c>
      <c r="G73" s="283">
        <v>841713.35</v>
      </c>
      <c r="H73" s="301">
        <v>43279.708333333299</v>
      </c>
      <c r="I73" s="302">
        <v>1</v>
      </c>
      <c r="J73" s="302">
        <v>0.15</v>
      </c>
      <c r="K73" s="284">
        <v>834899</v>
      </c>
      <c r="L73" s="284">
        <v>6814.35</v>
      </c>
      <c r="M73" s="284">
        <v>0</v>
      </c>
      <c r="N73" s="291"/>
    </row>
    <row r="74" spans="1:14" s="149" customFormat="1" ht="180">
      <c r="A74" s="262">
        <v>67</v>
      </c>
      <c r="B74" s="273" t="s">
        <v>882</v>
      </c>
      <c r="C74" s="265" t="s">
        <v>883</v>
      </c>
      <c r="D74" s="264" t="s">
        <v>884</v>
      </c>
      <c r="E74" s="263" t="s">
        <v>686</v>
      </c>
      <c r="F74" s="283">
        <v>0</v>
      </c>
      <c r="G74" s="283">
        <v>432530</v>
      </c>
      <c r="H74" s="301">
        <v>43404.708333333299</v>
      </c>
      <c r="I74" s="302">
        <v>1</v>
      </c>
      <c r="J74" s="302">
        <v>0.4</v>
      </c>
      <c r="K74" s="284">
        <v>419572.86</v>
      </c>
      <c r="L74" s="284">
        <v>12957.14</v>
      </c>
      <c r="M74" s="284">
        <v>0</v>
      </c>
      <c r="N74" s="291"/>
    </row>
    <row r="75" spans="1:14" s="149" customFormat="1" ht="165">
      <c r="A75" s="262">
        <v>68</v>
      </c>
      <c r="B75" s="273" t="s">
        <v>885</v>
      </c>
      <c r="C75" s="265" t="s">
        <v>886</v>
      </c>
      <c r="D75" s="264" t="s">
        <v>887</v>
      </c>
      <c r="E75" s="263" t="s">
        <v>686</v>
      </c>
      <c r="F75" s="283">
        <v>0</v>
      </c>
      <c r="G75" s="283">
        <v>196980.39</v>
      </c>
      <c r="H75" s="301">
        <v>43668.708333333299</v>
      </c>
      <c r="I75" s="302">
        <v>0.3</v>
      </c>
      <c r="J75" s="302" t="s">
        <v>690</v>
      </c>
      <c r="K75" s="284">
        <v>196715</v>
      </c>
      <c r="L75" s="284">
        <v>265.39</v>
      </c>
      <c r="M75" s="284">
        <v>0</v>
      </c>
      <c r="N75" s="291"/>
    </row>
    <row r="76" spans="1:14" s="149" customFormat="1" ht="180">
      <c r="A76" s="267">
        <v>69</v>
      </c>
      <c r="B76" s="281" t="s">
        <v>888</v>
      </c>
      <c r="C76" s="268" t="s">
        <v>889</v>
      </c>
      <c r="D76" s="269" t="s">
        <v>890</v>
      </c>
      <c r="E76" s="270" t="s">
        <v>742</v>
      </c>
      <c r="F76" s="282">
        <v>0</v>
      </c>
      <c r="G76" s="282">
        <v>761895.64</v>
      </c>
      <c r="H76" s="293">
        <v>43448.708333333299</v>
      </c>
      <c r="I76" s="294">
        <v>1</v>
      </c>
      <c r="J76" s="294">
        <v>0.05</v>
      </c>
      <c r="K76" s="295">
        <v>761895.64</v>
      </c>
      <c r="L76" s="295">
        <v>0</v>
      </c>
      <c r="M76" s="295">
        <v>0</v>
      </c>
      <c r="N76" s="292"/>
    </row>
    <row r="77" spans="1:14" s="149" customFormat="1" ht="150">
      <c r="A77" s="262">
        <v>70</v>
      </c>
      <c r="B77" s="273" t="s">
        <v>891</v>
      </c>
      <c r="C77" s="265" t="s">
        <v>892</v>
      </c>
      <c r="D77" s="264" t="s">
        <v>893</v>
      </c>
      <c r="E77" s="263" t="s">
        <v>686</v>
      </c>
      <c r="F77" s="287">
        <v>0</v>
      </c>
      <c r="G77" s="283">
        <v>46410</v>
      </c>
      <c r="H77" s="301">
        <v>43344</v>
      </c>
      <c r="I77" s="302">
        <v>0.1</v>
      </c>
      <c r="J77" s="302">
        <v>0</v>
      </c>
      <c r="K77" s="284">
        <v>46410</v>
      </c>
      <c r="L77" s="284">
        <v>0</v>
      </c>
      <c r="M77" s="284">
        <v>0</v>
      </c>
      <c r="N77" s="291"/>
    </row>
    <row r="78" spans="1:14" s="149" customFormat="1" ht="165">
      <c r="A78" s="262">
        <v>71</v>
      </c>
      <c r="B78" s="273" t="s">
        <v>894</v>
      </c>
      <c r="C78" s="265" t="s">
        <v>895</v>
      </c>
      <c r="D78" s="264" t="s">
        <v>896</v>
      </c>
      <c r="E78" s="263" t="s">
        <v>686</v>
      </c>
      <c r="F78" s="283">
        <v>0</v>
      </c>
      <c r="G78" s="283">
        <v>77500</v>
      </c>
      <c r="H78" s="301">
        <v>43109.708333333299</v>
      </c>
      <c r="I78" s="302">
        <v>1</v>
      </c>
      <c r="J78" s="302">
        <v>0.5</v>
      </c>
      <c r="K78" s="284">
        <v>77500</v>
      </c>
      <c r="L78" s="284">
        <v>0</v>
      </c>
      <c r="M78" s="284">
        <v>0</v>
      </c>
      <c r="N78" s="291"/>
    </row>
    <row r="79" spans="1:14" s="149" customFormat="1" ht="195">
      <c r="A79" s="262">
        <v>72</v>
      </c>
      <c r="B79" s="273" t="s">
        <v>897</v>
      </c>
      <c r="C79" s="265" t="s">
        <v>898</v>
      </c>
      <c r="D79" s="264" t="s">
        <v>899</v>
      </c>
      <c r="E79" s="263" t="s">
        <v>686</v>
      </c>
      <c r="F79" s="283">
        <v>0</v>
      </c>
      <c r="G79" s="283">
        <v>140000</v>
      </c>
      <c r="H79" s="301">
        <v>43334.708333333299</v>
      </c>
      <c r="I79" s="302">
        <v>1</v>
      </c>
      <c r="J79" s="302">
        <v>0.35</v>
      </c>
      <c r="K79" s="284">
        <v>62672.04</v>
      </c>
      <c r="L79" s="284">
        <v>77327.960000000006</v>
      </c>
      <c r="M79" s="284">
        <v>0</v>
      </c>
      <c r="N79" s="291"/>
    </row>
    <row r="80" spans="1:14" s="149" customFormat="1" ht="135">
      <c r="A80" s="262">
        <v>73</v>
      </c>
      <c r="B80" s="273" t="s">
        <v>900</v>
      </c>
      <c r="C80" s="265" t="s">
        <v>901</v>
      </c>
      <c r="D80" s="264" t="s">
        <v>902</v>
      </c>
      <c r="E80" s="263" t="s">
        <v>686</v>
      </c>
      <c r="F80" s="283">
        <v>0</v>
      </c>
      <c r="G80" s="283">
        <v>45000</v>
      </c>
      <c r="H80" s="301">
        <v>42885.708333333299</v>
      </c>
      <c r="I80" s="302">
        <v>1</v>
      </c>
      <c r="J80" s="302">
        <v>1</v>
      </c>
      <c r="K80" s="284">
        <v>0</v>
      </c>
      <c r="L80" s="284">
        <v>45000</v>
      </c>
      <c r="M80" s="284">
        <v>0</v>
      </c>
      <c r="N80" s="291"/>
    </row>
    <row r="81" spans="1:14" s="149" customFormat="1" ht="150">
      <c r="A81" s="262">
        <v>74</v>
      </c>
      <c r="B81" s="273" t="s">
        <v>903</v>
      </c>
      <c r="C81" s="265" t="s">
        <v>904</v>
      </c>
      <c r="D81" s="264" t="s">
        <v>905</v>
      </c>
      <c r="E81" s="263" t="s">
        <v>686</v>
      </c>
      <c r="F81" s="283">
        <v>0</v>
      </c>
      <c r="G81" s="283">
        <v>1581141.42</v>
      </c>
      <c r="H81" s="301">
        <v>43560.708333333299</v>
      </c>
      <c r="I81" s="302">
        <v>1</v>
      </c>
      <c r="J81" s="302">
        <v>0.13</v>
      </c>
      <c r="K81" s="284">
        <v>1181153.42</v>
      </c>
      <c r="L81" s="284">
        <v>399988</v>
      </c>
      <c r="M81" s="284">
        <v>0</v>
      </c>
      <c r="N81" s="291"/>
    </row>
    <row r="82" spans="1:14" s="149" customFormat="1" ht="135">
      <c r="A82" s="262" t="s">
        <v>906</v>
      </c>
      <c r="B82" s="273" t="s">
        <v>907</v>
      </c>
      <c r="C82" s="265" t="s">
        <v>908</v>
      </c>
      <c r="D82" s="264" t="s">
        <v>909</v>
      </c>
      <c r="E82" s="263" t="s">
        <v>686</v>
      </c>
      <c r="F82" s="283">
        <v>0</v>
      </c>
      <c r="G82" s="283">
        <v>1068075.81</v>
      </c>
      <c r="H82" s="301">
        <v>43111.708333333299</v>
      </c>
      <c r="I82" s="302">
        <v>1</v>
      </c>
      <c r="J82" s="302">
        <v>0.73</v>
      </c>
      <c r="K82" s="284">
        <v>371186.98</v>
      </c>
      <c r="L82" s="284">
        <v>696888.83</v>
      </c>
      <c r="M82" s="284">
        <v>0</v>
      </c>
      <c r="N82" s="285"/>
    </row>
    <row r="83" spans="1:14" s="149" customFormat="1" ht="165">
      <c r="A83" s="262" t="s">
        <v>910</v>
      </c>
      <c r="B83" s="273" t="s">
        <v>911</v>
      </c>
      <c r="C83" s="275" t="s">
        <v>912</v>
      </c>
      <c r="D83" s="264" t="s">
        <v>913</v>
      </c>
      <c r="E83" s="263" t="s">
        <v>686</v>
      </c>
      <c r="F83" s="283">
        <v>0</v>
      </c>
      <c r="G83" s="283">
        <v>420899.5</v>
      </c>
      <c r="H83" s="301">
        <v>43161.708333333299</v>
      </c>
      <c r="I83" s="302">
        <v>1</v>
      </c>
      <c r="J83" s="302">
        <v>0.3</v>
      </c>
      <c r="K83" s="284">
        <v>344753.16000000003</v>
      </c>
      <c r="L83" s="284">
        <v>76146.34</v>
      </c>
      <c r="M83" s="284">
        <v>0</v>
      </c>
      <c r="N83" s="285"/>
    </row>
    <row r="84" spans="1:14" s="149" customFormat="1" ht="120">
      <c r="A84" s="262" t="s">
        <v>914</v>
      </c>
      <c r="B84" s="273" t="s">
        <v>915</v>
      </c>
      <c r="C84" s="275" t="s">
        <v>916</v>
      </c>
      <c r="D84" s="264" t="s">
        <v>913</v>
      </c>
      <c r="E84" s="263" t="s">
        <v>686</v>
      </c>
      <c r="F84" s="283">
        <v>0</v>
      </c>
      <c r="G84" s="283">
        <v>830899.90000000014</v>
      </c>
      <c r="H84" s="301">
        <v>43185.708333333299</v>
      </c>
      <c r="I84" s="302">
        <v>1</v>
      </c>
      <c r="J84" s="302">
        <v>0.63</v>
      </c>
      <c r="K84" s="284">
        <v>427153.9</v>
      </c>
      <c r="L84" s="284">
        <v>403746.00000000006</v>
      </c>
      <c r="M84" s="284">
        <v>0</v>
      </c>
      <c r="N84" s="285"/>
    </row>
    <row r="85" spans="1:14" s="149" customFormat="1" ht="120">
      <c r="A85" s="262" t="s">
        <v>917</v>
      </c>
      <c r="B85" s="273" t="s">
        <v>918</v>
      </c>
      <c r="C85" s="275" t="s">
        <v>919</v>
      </c>
      <c r="D85" s="264" t="s">
        <v>920</v>
      </c>
      <c r="E85" s="263" t="s">
        <v>686</v>
      </c>
      <c r="F85" s="283">
        <v>0</v>
      </c>
      <c r="G85" s="283">
        <v>112765.89000000003</v>
      </c>
      <c r="H85" s="301">
        <v>43198.708333333299</v>
      </c>
      <c r="I85" s="302">
        <v>1</v>
      </c>
      <c r="J85" s="302">
        <v>0</v>
      </c>
      <c r="K85" s="284">
        <v>21492.12</v>
      </c>
      <c r="L85" s="284">
        <v>91273.770000000033</v>
      </c>
      <c r="M85" s="284">
        <v>0</v>
      </c>
      <c r="N85" s="291"/>
    </row>
    <row r="86" spans="1:14" s="149" customFormat="1" ht="135">
      <c r="A86" s="262" t="s">
        <v>921</v>
      </c>
      <c r="B86" s="273" t="s">
        <v>922</v>
      </c>
      <c r="C86" s="275" t="s">
        <v>923</v>
      </c>
      <c r="D86" s="264" t="s">
        <v>913</v>
      </c>
      <c r="E86" s="263" t="s">
        <v>686</v>
      </c>
      <c r="F86" s="283">
        <v>0</v>
      </c>
      <c r="G86" s="283">
        <v>115866.79000000001</v>
      </c>
      <c r="H86" s="301">
        <v>43168.708333333299</v>
      </c>
      <c r="I86" s="302">
        <v>1</v>
      </c>
      <c r="J86" s="302">
        <v>0.46</v>
      </c>
      <c r="K86" s="284">
        <v>71617.02</v>
      </c>
      <c r="L86" s="284">
        <v>44249.77</v>
      </c>
      <c r="M86" s="284">
        <v>0</v>
      </c>
      <c r="N86" s="285"/>
    </row>
    <row r="87" spans="1:14" s="149" customFormat="1" ht="165">
      <c r="A87" s="262" t="s">
        <v>924</v>
      </c>
      <c r="B87" s="273" t="s">
        <v>925</v>
      </c>
      <c r="C87" s="265" t="s">
        <v>926</v>
      </c>
      <c r="D87" s="264" t="s">
        <v>927</v>
      </c>
      <c r="E87" s="263" t="s">
        <v>686</v>
      </c>
      <c r="F87" s="283">
        <v>0</v>
      </c>
      <c r="G87" s="283">
        <v>76222.149999999994</v>
      </c>
      <c r="H87" s="301">
        <v>42748.708333333299</v>
      </c>
      <c r="I87" s="302">
        <v>1</v>
      </c>
      <c r="J87" s="302">
        <v>1</v>
      </c>
      <c r="K87" s="284">
        <v>0</v>
      </c>
      <c r="L87" s="284">
        <v>76222.149999999994</v>
      </c>
      <c r="M87" s="284">
        <v>0</v>
      </c>
      <c r="N87" s="285"/>
    </row>
    <row r="88" spans="1:14" s="149" customFormat="1" ht="165">
      <c r="A88" s="262" t="s">
        <v>928</v>
      </c>
      <c r="B88" s="273" t="s">
        <v>929</v>
      </c>
      <c r="C88" s="275" t="s">
        <v>930</v>
      </c>
      <c r="D88" s="264" t="s">
        <v>931</v>
      </c>
      <c r="E88" s="263" t="s">
        <v>686</v>
      </c>
      <c r="F88" s="283">
        <v>0</v>
      </c>
      <c r="G88" s="283">
        <v>646938.59000000008</v>
      </c>
      <c r="H88" s="301">
        <v>43369.708333333299</v>
      </c>
      <c r="I88" s="302">
        <v>1</v>
      </c>
      <c r="J88" s="302">
        <v>0.35</v>
      </c>
      <c r="K88" s="284">
        <v>639379.04</v>
      </c>
      <c r="L88" s="284">
        <v>7559.55</v>
      </c>
      <c r="M88" s="284">
        <v>0</v>
      </c>
      <c r="N88" s="285"/>
    </row>
    <row r="89" spans="1:14" s="149" customFormat="1" ht="165">
      <c r="A89" s="262" t="s">
        <v>932</v>
      </c>
      <c r="B89" s="273" t="s">
        <v>933</v>
      </c>
      <c r="C89" s="265" t="s">
        <v>934</v>
      </c>
      <c r="D89" s="264" t="s">
        <v>935</v>
      </c>
      <c r="E89" s="263" t="s">
        <v>686</v>
      </c>
      <c r="F89" s="283">
        <v>0</v>
      </c>
      <c r="G89" s="283">
        <v>325436.95</v>
      </c>
      <c r="H89" s="301">
        <v>43009</v>
      </c>
      <c r="I89" s="302" t="s">
        <v>142</v>
      </c>
      <c r="J89" s="302">
        <v>1</v>
      </c>
      <c r="K89" s="284">
        <v>0</v>
      </c>
      <c r="L89" s="284">
        <v>325436.95</v>
      </c>
      <c r="M89" s="284">
        <v>0</v>
      </c>
      <c r="N89" s="285"/>
    </row>
    <row r="90" spans="1:14" s="149" customFormat="1" ht="150">
      <c r="A90" s="262" t="s">
        <v>936</v>
      </c>
      <c r="B90" s="273" t="s">
        <v>937</v>
      </c>
      <c r="C90" s="265" t="s">
        <v>938</v>
      </c>
      <c r="D90" s="264" t="s">
        <v>939</v>
      </c>
      <c r="E90" s="263" t="s">
        <v>686</v>
      </c>
      <c r="F90" s="283">
        <v>0</v>
      </c>
      <c r="G90" s="283">
        <v>533147.5</v>
      </c>
      <c r="H90" s="301">
        <v>43748.708333333299</v>
      </c>
      <c r="I90" s="302">
        <v>0.6</v>
      </c>
      <c r="J90" s="302" t="s">
        <v>690</v>
      </c>
      <c r="K90" s="284">
        <v>335480.74</v>
      </c>
      <c r="L90" s="284">
        <v>197666.76</v>
      </c>
      <c r="M90" s="284">
        <v>0</v>
      </c>
      <c r="N90" s="285"/>
    </row>
    <row r="91" spans="1:14" s="149" customFormat="1" ht="195">
      <c r="A91" s="262" t="s">
        <v>940</v>
      </c>
      <c r="B91" s="273" t="s">
        <v>941</v>
      </c>
      <c r="C91" s="265" t="s">
        <v>942</v>
      </c>
      <c r="D91" s="264" t="s">
        <v>943</v>
      </c>
      <c r="E91" s="263" t="s">
        <v>686</v>
      </c>
      <c r="F91" s="283">
        <v>0</v>
      </c>
      <c r="G91" s="283">
        <v>313188</v>
      </c>
      <c r="H91" s="301" t="s">
        <v>142</v>
      </c>
      <c r="I91" s="302" t="s">
        <v>142</v>
      </c>
      <c r="J91" s="302">
        <v>1</v>
      </c>
      <c r="K91" s="284">
        <v>127409.44</v>
      </c>
      <c r="L91" s="284">
        <v>185778.56000000003</v>
      </c>
      <c r="M91" s="284">
        <v>0</v>
      </c>
      <c r="N91" s="285"/>
    </row>
    <row r="92" spans="1:14" s="149" customFormat="1" ht="195">
      <c r="A92" s="262" t="s">
        <v>944</v>
      </c>
      <c r="B92" s="273" t="s">
        <v>945</v>
      </c>
      <c r="C92" s="265" t="s">
        <v>946</v>
      </c>
      <c r="D92" s="264" t="s">
        <v>947</v>
      </c>
      <c r="E92" s="263" t="s">
        <v>686</v>
      </c>
      <c r="F92" s="283">
        <v>0</v>
      </c>
      <c r="G92" s="283">
        <v>247778.73</v>
      </c>
      <c r="H92" s="301">
        <v>43901.708333333299</v>
      </c>
      <c r="I92" s="302">
        <v>0.3</v>
      </c>
      <c r="J92" s="302" t="s">
        <v>690</v>
      </c>
      <c r="K92" s="284">
        <v>142528.84</v>
      </c>
      <c r="L92" s="284">
        <v>105249.89000000001</v>
      </c>
      <c r="M92" s="284">
        <v>0</v>
      </c>
      <c r="N92" s="285"/>
    </row>
    <row r="93" spans="1:14" s="149" customFormat="1" ht="195">
      <c r="A93" s="262" t="s">
        <v>948</v>
      </c>
      <c r="B93" s="273" t="s">
        <v>949</v>
      </c>
      <c r="C93" s="265" t="s">
        <v>950</v>
      </c>
      <c r="D93" s="264" t="s">
        <v>951</v>
      </c>
      <c r="E93" s="263" t="s">
        <v>686</v>
      </c>
      <c r="F93" s="283">
        <v>0</v>
      </c>
      <c r="G93" s="283">
        <v>131721.38</v>
      </c>
      <c r="H93" s="301">
        <v>43544.708333333299</v>
      </c>
      <c r="I93" s="302">
        <v>0.6</v>
      </c>
      <c r="J93" s="302" t="s">
        <v>690</v>
      </c>
      <c r="K93" s="284">
        <v>6785.08</v>
      </c>
      <c r="L93" s="284">
        <v>124936.30000000002</v>
      </c>
      <c r="M93" s="284">
        <v>0</v>
      </c>
      <c r="N93" s="285"/>
    </row>
    <row r="94" spans="1:14" s="149" customFormat="1" ht="165">
      <c r="A94" s="262" t="s">
        <v>952</v>
      </c>
      <c r="B94" s="273" t="s">
        <v>953</v>
      </c>
      <c r="C94" s="265" t="s">
        <v>954</v>
      </c>
      <c r="D94" s="264" t="s">
        <v>955</v>
      </c>
      <c r="E94" s="263" t="s">
        <v>686</v>
      </c>
      <c r="F94" s="283">
        <v>0</v>
      </c>
      <c r="G94" s="283">
        <v>65778.720000000016</v>
      </c>
      <c r="H94" s="301">
        <v>43917.708333333299</v>
      </c>
      <c r="I94" s="302">
        <v>0.3</v>
      </c>
      <c r="J94" s="302" t="s">
        <v>690</v>
      </c>
      <c r="K94" s="284">
        <v>4050.0000000000005</v>
      </c>
      <c r="L94" s="284">
        <v>61728.720000000008</v>
      </c>
      <c r="M94" s="284">
        <v>0</v>
      </c>
      <c r="N94" s="285"/>
    </row>
    <row r="95" spans="1:14" s="149" customFormat="1" ht="150">
      <c r="A95" s="262" t="s">
        <v>956</v>
      </c>
      <c r="B95" s="273" t="s">
        <v>957</v>
      </c>
      <c r="C95" s="265" t="s">
        <v>958</v>
      </c>
      <c r="D95" s="264" t="s">
        <v>959</v>
      </c>
      <c r="E95" s="263" t="s">
        <v>686</v>
      </c>
      <c r="F95" s="283">
        <v>0</v>
      </c>
      <c r="G95" s="283">
        <v>219365.57</v>
      </c>
      <c r="H95" s="301" t="s">
        <v>142</v>
      </c>
      <c r="I95" s="302" t="s">
        <v>142</v>
      </c>
      <c r="J95" s="302">
        <v>1</v>
      </c>
      <c r="K95" s="284">
        <v>138532.62</v>
      </c>
      <c r="L95" s="284">
        <v>80832.95</v>
      </c>
      <c r="M95" s="284">
        <v>0</v>
      </c>
      <c r="N95" s="285"/>
    </row>
    <row r="96" spans="1:14" s="149" customFormat="1" ht="150">
      <c r="A96" s="262" t="s">
        <v>960</v>
      </c>
      <c r="B96" s="273" t="s">
        <v>961</v>
      </c>
      <c r="C96" s="265" t="s">
        <v>962</v>
      </c>
      <c r="D96" s="264" t="s">
        <v>963</v>
      </c>
      <c r="E96" s="263" t="s">
        <v>686</v>
      </c>
      <c r="F96" s="283">
        <v>0</v>
      </c>
      <c r="G96" s="283">
        <v>441933.19000000006</v>
      </c>
      <c r="H96" s="301">
        <v>43229.708333333299</v>
      </c>
      <c r="I96" s="302">
        <v>1</v>
      </c>
      <c r="J96" s="302">
        <v>0.32</v>
      </c>
      <c r="K96" s="284">
        <v>274545.44</v>
      </c>
      <c r="L96" s="284">
        <v>167387.75000000003</v>
      </c>
      <c r="M96" s="284">
        <v>0</v>
      </c>
      <c r="N96" s="285"/>
    </row>
    <row r="97" spans="1:14" s="149" customFormat="1" ht="165">
      <c r="A97" s="262" t="s">
        <v>964</v>
      </c>
      <c r="B97" s="273" t="s">
        <v>965</v>
      </c>
      <c r="C97" s="265" t="s">
        <v>966</v>
      </c>
      <c r="D97" s="264" t="s">
        <v>967</v>
      </c>
      <c r="E97" s="263" t="s">
        <v>686</v>
      </c>
      <c r="F97" s="283">
        <v>0</v>
      </c>
      <c r="G97" s="283">
        <v>272329.53000000003</v>
      </c>
      <c r="H97" s="301">
        <v>44334.708333333299</v>
      </c>
      <c r="I97" s="302">
        <v>0.3</v>
      </c>
      <c r="J97" s="302">
        <v>0</v>
      </c>
      <c r="K97" s="284">
        <v>85326.31</v>
      </c>
      <c r="L97" s="284">
        <v>187003.22</v>
      </c>
      <c r="M97" s="284">
        <v>0</v>
      </c>
      <c r="N97" s="285"/>
    </row>
    <row r="98" spans="1:14" s="149" customFormat="1" ht="135">
      <c r="A98" s="262" t="s">
        <v>968</v>
      </c>
      <c r="B98" s="273" t="s">
        <v>969</v>
      </c>
      <c r="C98" s="265" t="s">
        <v>970</v>
      </c>
      <c r="D98" s="264" t="s">
        <v>971</v>
      </c>
      <c r="E98" s="263" t="s">
        <v>686</v>
      </c>
      <c r="F98" s="283">
        <v>0</v>
      </c>
      <c r="G98" s="283">
        <v>407291.52</v>
      </c>
      <c r="H98" s="301">
        <v>44256.708333333299</v>
      </c>
      <c r="I98" s="302">
        <v>0.3</v>
      </c>
      <c r="J98" s="302" t="s">
        <v>690</v>
      </c>
      <c r="K98" s="284">
        <v>375445.81</v>
      </c>
      <c r="L98" s="284">
        <v>31845.71</v>
      </c>
      <c r="M98" s="284">
        <v>0</v>
      </c>
      <c r="N98" s="285"/>
    </row>
    <row r="99" spans="1:14" s="149" customFormat="1" ht="180">
      <c r="A99" s="262" t="s">
        <v>972</v>
      </c>
      <c r="B99" s="273" t="s">
        <v>973</v>
      </c>
      <c r="C99" s="265" t="s">
        <v>974</v>
      </c>
      <c r="D99" s="264" t="s">
        <v>975</v>
      </c>
      <c r="E99" s="263" t="s">
        <v>686</v>
      </c>
      <c r="F99" s="283">
        <v>0</v>
      </c>
      <c r="G99" s="283">
        <v>179454.15</v>
      </c>
      <c r="H99" s="301">
        <v>43054.708333333299</v>
      </c>
      <c r="I99" s="302">
        <v>1</v>
      </c>
      <c r="J99" s="302">
        <v>0.89</v>
      </c>
      <c r="K99" s="284">
        <v>16974.589999999997</v>
      </c>
      <c r="L99" s="284">
        <v>162479.56</v>
      </c>
      <c r="M99" s="284">
        <v>0</v>
      </c>
      <c r="N99" s="285"/>
    </row>
    <row r="100" spans="1:14" s="149" customFormat="1" ht="165">
      <c r="A100" s="262" t="s">
        <v>976</v>
      </c>
      <c r="B100" s="273" t="s">
        <v>977</v>
      </c>
      <c r="C100" s="265" t="s">
        <v>978</v>
      </c>
      <c r="D100" s="264" t="s">
        <v>979</v>
      </c>
      <c r="E100" s="263" t="s">
        <v>686</v>
      </c>
      <c r="F100" s="283">
        <v>0</v>
      </c>
      <c r="G100" s="283">
        <v>19392.89</v>
      </c>
      <c r="H100" s="301" t="s">
        <v>142</v>
      </c>
      <c r="I100" s="302" t="s">
        <v>142</v>
      </c>
      <c r="J100" s="302">
        <v>1</v>
      </c>
      <c r="K100" s="284">
        <v>0</v>
      </c>
      <c r="L100" s="284">
        <v>19392.89</v>
      </c>
      <c r="M100" s="284">
        <v>0</v>
      </c>
      <c r="N100" s="285"/>
    </row>
    <row r="101" spans="1:14" s="149" customFormat="1" ht="195">
      <c r="A101" s="262" t="s">
        <v>980</v>
      </c>
      <c r="B101" s="273" t="s">
        <v>981</v>
      </c>
      <c r="C101" s="265" t="s">
        <v>982</v>
      </c>
      <c r="D101" s="264" t="s">
        <v>983</v>
      </c>
      <c r="E101" s="263" t="s">
        <v>686</v>
      </c>
      <c r="F101" s="283">
        <v>0</v>
      </c>
      <c r="G101" s="283">
        <v>24014.79</v>
      </c>
      <c r="H101" s="301" t="s">
        <v>142</v>
      </c>
      <c r="I101" s="302" t="s">
        <v>142</v>
      </c>
      <c r="J101" s="302">
        <v>1</v>
      </c>
      <c r="K101" s="284">
        <v>0</v>
      </c>
      <c r="L101" s="284">
        <v>24014.79</v>
      </c>
      <c r="M101" s="284">
        <v>0</v>
      </c>
      <c r="N101" s="285"/>
    </row>
    <row r="102" spans="1:14" s="149" customFormat="1" ht="180">
      <c r="A102" s="262" t="s">
        <v>984</v>
      </c>
      <c r="B102" s="273" t="s">
        <v>985</v>
      </c>
      <c r="C102" s="265" t="s">
        <v>986</v>
      </c>
      <c r="D102" s="264" t="s">
        <v>987</v>
      </c>
      <c r="E102" s="263" t="s">
        <v>686</v>
      </c>
      <c r="F102" s="283">
        <v>0</v>
      </c>
      <c r="G102" s="283">
        <v>357012.16000000003</v>
      </c>
      <c r="H102" s="301">
        <v>43601.4</v>
      </c>
      <c r="I102" s="302">
        <v>0.6</v>
      </c>
      <c r="J102" s="302" t="s">
        <v>690</v>
      </c>
      <c r="K102" s="284">
        <v>133022.53</v>
      </c>
      <c r="L102" s="284">
        <v>223989.63000000003</v>
      </c>
      <c r="M102" s="284">
        <v>0</v>
      </c>
      <c r="N102" s="285"/>
    </row>
    <row r="103" spans="1:14" s="149" customFormat="1" ht="195">
      <c r="A103" s="262" t="s">
        <v>988</v>
      </c>
      <c r="B103" s="273" t="s">
        <v>989</v>
      </c>
      <c r="C103" s="265" t="s">
        <v>990</v>
      </c>
      <c r="D103" s="264" t="s">
        <v>991</v>
      </c>
      <c r="E103" s="263" t="s">
        <v>686</v>
      </c>
      <c r="F103" s="283">
        <v>0</v>
      </c>
      <c r="G103" s="283">
        <v>355667.15</v>
      </c>
      <c r="H103" s="301" t="s">
        <v>142</v>
      </c>
      <c r="I103" s="302" t="s">
        <v>142</v>
      </c>
      <c r="J103" s="302">
        <v>1</v>
      </c>
      <c r="K103" s="284">
        <v>106216.01000000001</v>
      </c>
      <c r="L103" s="284">
        <v>249451.14</v>
      </c>
      <c r="M103" s="284">
        <v>0</v>
      </c>
      <c r="N103" s="285"/>
    </row>
    <row r="104" spans="1:14" ht="180.75" thickBot="1">
      <c r="A104" s="262" t="s">
        <v>992</v>
      </c>
      <c r="B104" s="273" t="s">
        <v>993</v>
      </c>
      <c r="C104" s="265" t="s">
        <v>994</v>
      </c>
      <c r="D104" s="264" t="s">
        <v>995</v>
      </c>
      <c r="E104" s="263" t="s">
        <v>686</v>
      </c>
      <c r="F104" s="283">
        <v>0</v>
      </c>
      <c r="G104" s="283">
        <v>334993.49</v>
      </c>
      <c r="H104" s="301">
        <v>43681.708333333299</v>
      </c>
      <c r="I104" s="302">
        <v>0.3</v>
      </c>
      <c r="J104" s="302" t="s">
        <v>690</v>
      </c>
      <c r="K104" s="305">
        <v>175162.5</v>
      </c>
      <c r="L104" s="305">
        <v>159830.99</v>
      </c>
      <c r="M104" s="305">
        <v>0</v>
      </c>
      <c r="N104" s="285"/>
    </row>
    <row r="105" spans="1:14" ht="16.5" thickBot="1">
      <c r="A105" s="254"/>
      <c r="B105" s="271"/>
      <c r="C105" s="261"/>
      <c r="D105" s="261"/>
      <c r="E105" s="279" t="s">
        <v>514</v>
      </c>
      <c r="F105" s="277">
        <v>91000000</v>
      </c>
      <c r="G105" s="277">
        <v>89301999.210000038</v>
      </c>
      <c r="H105" s="303"/>
      <c r="I105" s="304"/>
      <c r="J105" s="304"/>
      <c r="K105" s="306">
        <v>59714941.210000008</v>
      </c>
      <c r="L105" s="307">
        <v>29587057.999999996</v>
      </c>
      <c r="M105" s="308">
        <v>0</v>
      </c>
      <c r="N105" s="290"/>
    </row>
  </sheetData>
  <mergeCells count="17">
    <mergeCell ref="K5:K7"/>
    <mergeCell ref="L5:L7"/>
    <mergeCell ref="N5:N7"/>
    <mergeCell ref="A5:A7"/>
    <mergeCell ref="M5:M7"/>
    <mergeCell ref="E5:E7"/>
    <mergeCell ref="F5:F7"/>
    <mergeCell ref="G5:G7"/>
    <mergeCell ref="H5:H7"/>
    <mergeCell ref="I5:I7"/>
    <mergeCell ref="J5:J7"/>
    <mergeCell ref="C1:D1"/>
    <mergeCell ref="C5:C7"/>
    <mergeCell ref="B5:B7"/>
    <mergeCell ref="C2:D2"/>
    <mergeCell ref="C3:D3"/>
    <mergeCell ref="D5: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8"/>
  <sheetViews>
    <sheetView workbookViewId="0">
      <selection activeCell="C29" sqref="C29"/>
    </sheetView>
  </sheetViews>
  <sheetFormatPr defaultRowHeight="15"/>
  <cols>
    <col min="2" max="2" width="13" customWidth="1"/>
    <col min="3" max="3" width="20.85546875" customWidth="1"/>
    <col min="4" max="4" width="30.85546875" customWidth="1"/>
    <col min="5" max="5" width="13" customWidth="1"/>
    <col min="6" max="6" width="15.85546875" customWidth="1"/>
    <col min="7" max="7" width="15.7109375" customWidth="1"/>
    <col min="8" max="8" width="15.140625" customWidth="1"/>
    <col min="9" max="9" width="13.85546875" customWidth="1"/>
    <col min="10" max="10" width="16" customWidth="1"/>
    <col min="11" max="11" width="16.42578125" customWidth="1"/>
    <col min="12" max="12" width="18" customWidth="1"/>
    <col min="13" max="13" width="15" customWidth="1"/>
    <col min="14" max="14" width="11.140625" customWidth="1"/>
  </cols>
  <sheetData>
    <row r="1" spans="1:14" ht="15.75">
      <c r="A1" s="107"/>
      <c r="B1" s="108" t="s">
        <v>131</v>
      </c>
      <c r="C1" s="447" t="s">
        <v>132</v>
      </c>
      <c r="D1" s="448"/>
      <c r="E1" s="109"/>
      <c r="F1" s="107"/>
      <c r="G1" s="110"/>
      <c r="H1" s="107"/>
      <c r="I1" s="111"/>
      <c r="J1" s="107"/>
      <c r="K1" s="110"/>
      <c r="L1" s="107"/>
      <c r="M1" s="107"/>
      <c r="N1" s="112"/>
    </row>
    <row r="2" spans="1:14" ht="15.75">
      <c r="A2" s="107"/>
      <c r="B2" s="108" t="s">
        <v>78</v>
      </c>
      <c r="C2" s="449">
        <v>43084</v>
      </c>
      <c r="D2" s="450"/>
      <c r="E2" s="113"/>
      <c r="F2" s="107"/>
      <c r="G2" s="114"/>
      <c r="H2" s="115"/>
      <c r="I2" s="111"/>
      <c r="J2" s="111"/>
      <c r="K2" s="110"/>
      <c r="L2" s="107"/>
      <c r="M2" s="116">
        <f>+C2</f>
        <v>43084</v>
      </c>
      <c r="N2" s="112"/>
    </row>
    <row r="3" spans="1:14" ht="31.5">
      <c r="A3" s="107"/>
      <c r="B3" s="108" t="s">
        <v>80</v>
      </c>
      <c r="C3" s="451" t="s">
        <v>133</v>
      </c>
      <c r="D3" s="452"/>
      <c r="E3" s="117"/>
      <c r="F3" s="107"/>
      <c r="G3" s="110"/>
      <c r="H3" s="107"/>
      <c r="I3" s="107"/>
      <c r="J3" s="107"/>
      <c r="K3" s="110"/>
      <c r="L3" s="107"/>
      <c r="M3" s="107"/>
      <c r="N3" s="112"/>
    </row>
    <row r="4" spans="1:14" ht="15.75">
      <c r="A4" s="107"/>
      <c r="B4" s="118"/>
      <c r="C4" s="119"/>
      <c r="D4" s="120"/>
      <c r="E4" s="120"/>
      <c r="F4" s="107"/>
      <c r="G4" s="110"/>
      <c r="H4" s="107"/>
      <c r="I4" s="107"/>
      <c r="J4" s="107"/>
      <c r="K4" s="110"/>
      <c r="L4" s="107"/>
      <c r="M4" s="107"/>
      <c r="N4" s="112"/>
    </row>
    <row r="5" spans="1:14" ht="37.5" customHeight="1">
      <c r="A5" s="439" t="s">
        <v>134</v>
      </c>
      <c r="B5" s="442" t="s">
        <v>82</v>
      </c>
      <c r="C5" s="442" t="s">
        <v>83</v>
      </c>
      <c r="D5" s="442" t="s">
        <v>84</v>
      </c>
      <c r="E5" s="442" t="s">
        <v>85</v>
      </c>
      <c r="F5" s="442" t="s">
        <v>0</v>
      </c>
      <c r="G5" s="443" t="s">
        <v>135</v>
      </c>
      <c r="H5" s="439" t="s">
        <v>88</v>
      </c>
      <c r="I5" s="444" t="s">
        <v>89</v>
      </c>
      <c r="J5" s="442" t="s">
        <v>136</v>
      </c>
      <c r="K5" s="436" t="s">
        <v>2</v>
      </c>
      <c r="L5" s="439" t="s">
        <v>4</v>
      </c>
      <c r="M5" s="439" t="s">
        <v>6</v>
      </c>
      <c r="N5" s="439" t="s">
        <v>137</v>
      </c>
    </row>
    <row r="6" spans="1:14" ht="37.5" customHeight="1">
      <c r="A6" s="440"/>
      <c r="B6" s="442"/>
      <c r="C6" s="442"/>
      <c r="D6" s="442"/>
      <c r="E6" s="442"/>
      <c r="F6" s="442"/>
      <c r="G6" s="443"/>
      <c r="H6" s="440"/>
      <c r="I6" s="445"/>
      <c r="J6" s="442"/>
      <c r="K6" s="437"/>
      <c r="L6" s="440"/>
      <c r="M6" s="440"/>
      <c r="N6" s="440"/>
    </row>
    <row r="7" spans="1:14" ht="37.5" customHeight="1">
      <c r="A7" s="441"/>
      <c r="B7" s="442"/>
      <c r="C7" s="442"/>
      <c r="D7" s="442"/>
      <c r="E7" s="442"/>
      <c r="F7" s="442"/>
      <c r="G7" s="443"/>
      <c r="H7" s="441"/>
      <c r="I7" s="446"/>
      <c r="J7" s="442"/>
      <c r="K7" s="438"/>
      <c r="L7" s="441"/>
      <c r="M7" s="441"/>
      <c r="N7" s="441"/>
    </row>
    <row r="8" spans="1:14" s="149" customFormat="1" ht="60">
      <c r="A8" s="127">
        <v>1</v>
      </c>
      <c r="B8" s="127" t="s">
        <v>138</v>
      </c>
      <c r="C8" s="122" t="s">
        <v>139</v>
      </c>
      <c r="D8" s="122" t="s">
        <v>140</v>
      </c>
      <c r="E8" s="123" t="s">
        <v>141</v>
      </c>
      <c r="F8" s="129"/>
      <c r="G8" s="126">
        <v>51856.38</v>
      </c>
      <c r="H8" s="128">
        <v>42992</v>
      </c>
      <c r="I8" s="124" t="s">
        <v>142</v>
      </c>
      <c r="J8" s="124">
        <v>1</v>
      </c>
      <c r="K8" s="311">
        <v>0</v>
      </c>
      <c r="L8" s="125">
        <v>51856.38</v>
      </c>
      <c r="M8" s="126">
        <f t="shared" ref="M8:M71" si="0">G8-K8-L8</f>
        <v>0</v>
      </c>
      <c r="N8" s="127" t="s">
        <v>143</v>
      </c>
    </row>
    <row r="9" spans="1:14" s="149" customFormat="1" ht="60">
      <c r="A9" s="127">
        <v>2</v>
      </c>
      <c r="B9" s="127" t="s">
        <v>144</v>
      </c>
      <c r="C9" s="122" t="s">
        <v>145</v>
      </c>
      <c r="D9" s="122" t="s">
        <v>146</v>
      </c>
      <c r="E9" s="123" t="s">
        <v>141</v>
      </c>
      <c r="F9" s="129"/>
      <c r="G9" s="126">
        <v>60818.029999999992</v>
      </c>
      <c r="H9" s="128">
        <v>42331</v>
      </c>
      <c r="I9" s="124" t="s">
        <v>142</v>
      </c>
      <c r="J9" s="124">
        <v>1</v>
      </c>
      <c r="K9" s="311">
        <v>0</v>
      </c>
      <c r="L9" s="125">
        <v>60818.029999999992</v>
      </c>
      <c r="M9" s="126">
        <f t="shared" si="0"/>
        <v>0</v>
      </c>
      <c r="N9" s="127"/>
    </row>
    <row r="10" spans="1:14" s="149" customFormat="1" ht="60">
      <c r="A10" s="127">
        <v>3</v>
      </c>
      <c r="B10" s="127" t="s">
        <v>147</v>
      </c>
      <c r="C10" s="122" t="s">
        <v>148</v>
      </c>
      <c r="D10" s="122" t="s">
        <v>149</v>
      </c>
      <c r="E10" s="123" t="s">
        <v>141</v>
      </c>
      <c r="F10" s="129">
        <v>75600</v>
      </c>
      <c r="G10" s="126">
        <v>49064.46</v>
      </c>
      <c r="H10" s="128">
        <v>42578</v>
      </c>
      <c r="I10" s="124" t="s">
        <v>142</v>
      </c>
      <c r="J10" s="124">
        <v>1</v>
      </c>
      <c r="K10" s="311">
        <v>0</v>
      </c>
      <c r="L10" s="125">
        <v>49064.46</v>
      </c>
      <c r="M10" s="126">
        <f t="shared" si="0"/>
        <v>0</v>
      </c>
      <c r="N10" s="127"/>
    </row>
    <row r="11" spans="1:14" s="149" customFormat="1" ht="60">
      <c r="A11" s="127">
        <v>4</v>
      </c>
      <c r="B11" s="127" t="s">
        <v>150</v>
      </c>
      <c r="C11" s="122" t="s">
        <v>151</v>
      </c>
      <c r="D11" s="122" t="s">
        <v>152</v>
      </c>
      <c r="E11" s="123" t="s">
        <v>141</v>
      </c>
      <c r="F11" s="129">
        <v>40400</v>
      </c>
      <c r="G11" s="126">
        <v>15535.3</v>
      </c>
      <c r="H11" s="128">
        <v>42866</v>
      </c>
      <c r="I11" s="124">
        <v>1</v>
      </c>
      <c r="J11" s="124">
        <v>1</v>
      </c>
      <c r="K11" s="311">
        <v>0</v>
      </c>
      <c r="L11" s="125">
        <v>15535.3</v>
      </c>
      <c r="M11" s="126">
        <f t="shared" si="0"/>
        <v>0</v>
      </c>
      <c r="N11" s="127"/>
    </row>
    <row r="12" spans="1:14" s="149" customFormat="1" ht="60">
      <c r="A12" s="127">
        <v>5</v>
      </c>
      <c r="B12" s="127" t="s">
        <v>153</v>
      </c>
      <c r="C12" s="122" t="s">
        <v>154</v>
      </c>
      <c r="D12" s="122" t="s">
        <v>155</v>
      </c>
      <c r="E12" s="123" t="s">
        <v>141</v>
      </c>
      <c r="F12" s="129">
        <v>37400</v>
      </c>
      <c r="G12" s="126">
        <v>29322.32</v>
      </c>
      <c r="H12" s="128">
        <v>42570</v>
      </c>
      <c r="I12" s="124">
        <v>1</v>
      </c>
      <c r="J12" s="124">
        <v>1</v>
      </c>
      <c r="K12" s="311">
        <v>0</v>
      </c>
      <c r="L12" s="125">
        <v>29322.32</v>
      </c>
      <c r="M12" s="126">
        <f t="shared" si="0"/>
        <v>0</v>
      </c>
      <c r="N12" s="127" t="s">
        <v>156</v>
      </c>
    </row>
    <row r="13" spans="1:14" s="149" customFormat="1" ht="60">
      <c r="A13" s="127">
        <v>6</v>
      </c>
      <c r="B13" s="127" t="s">
        <v>157</v>
      </c>
      <c r="C13" s="122" t="s">
        <v>158</v>
      </c>
      <c r="D13" s="122" t="s">
        <v>159</v>
      </c>
      <c r="E13" s="123" t="s">
        <v>141</v>
      </c>
      <c r="F13" s="129"/>
      <c r="G13" s="126">
        <v>71864.490000000005</v>
      </c>
      <c r="H13" s="128">
        <v>42578</v>
      </c>
      <c r="I13" s="124">
        <v>1</v>
      </c>
      <c r="J13" s="124">
        <v>1</v>
      </c>
      <c r="K13" s="311">
        <v>0</v>
      </c>
      <c r="L13" s="125">
        <v>71864.490000000005</v>
      </c>
      <c r="M13" s="126">
        <f t="shared" si="0"/>
        <v>0</v>
      </c>
      <c r="N13" s="127"/>
    </row>
    <row r="14" spans="1:14" s="149" customFormat="1" ht="60">
      <c r="A14" s="127">
        <v>7</v>
      </c>
      <c r="B14" s="127" t="s">
        <v>160</v>
      </c>
      <c r="C14" s="122" t="s">
        <v>161</v>
      </c>
      <c r="D14" s="122" t="s">
        <v>162</v>
      </c>
      <c r="E14" s="123" t="s">
        <v>141</v>
      </c>
      <c r="F14" s="129">
        <v>88800</v>
      </c>
      <c r="G14" s="126">
        <v>58531.89</v>
      </c>
      <c r="H14" s="128">
        <v>42621</v>
      </c>
      <c r="I14" s="124">
        <v>1</v>
      </c>
      <c r="J14" s="124">
        <v>1</v>
      </c>
      <c r="K14" s="311">
        <v>0</v>
      </c>
      <c r="L14" s="125">
        <v>58531.89</v>
      </c>
      <c r="M14" s="126">
        <f t="shared" si="0"/>
        <v>0</v>
      </c>
      <c r="N14" s="127" t="s">
        <v>156</v>
      </c>
    </row>
    <row r="15" spans="1:14" s="149" customFormat="1" ht="60">
      <c r="A15" s="127">
        <v>8</v>
      </c>
      <c r="B15" s="127" t="s">
        <v>163</v>
      </c>
      <c r="C15" s="122" t="s">
        <v>164</v>
      </c>
      <c r="D15" s="122" t="s">
        <v>165</v>
      </c>
      <c r="E15" s="123" t="s">
        <v>141</v>
      </c>
      <c r="F15" s="129"/>
      <c r="G15" s="126">
        <v>225544.48</v>
      </c>
      <c r="H15" s="128">
        <v>42598</v>
      </c>
      <c r="I15" s="124" t="s">
        <v>142</v>
      </c>
      <c r="J15" s="124">
        <v>1</v>
      </c>
      <c r="K15" s="311">
        <v>0</v>
      </c>
      <c r="L15" s="125">
        <v>225544.48</v>
      </c>
      <c r="M15" s="126">
        <f t="shared" si="0"/>
        <v>0</v>
      </c>
      <c r="N15" s="127"/>
    </row>
    <row r="16" spans="1:14" s="149" customFormat="1" ht="60">
      <c r="A16" s="127">
        <v>9</v>
      </c>
      <c r="B16" s="127" t="s">
        <v>166</v>
      </c>
      <c r="C16" s="122" t="s">
        <v>167</v>
      </c>
      <c r="D16" s="122" t="s">
        <v>168</v>
      </c>
      <c r="E16" s="123" t="s">
        <v>141</v>
      </c>
      <c r="F16" s="129">
        <v>47900</v>
      </c>
      <c r="G16" s="126">
        <v>38793.440000000002</v>
      </c>
      <c r="H16" s="128">
        <v>42689</v>
      </c>
      <c r="I16" s="124">
        <v>1</v>
      </c>
      <c r="J16" s="124">
        <v>1</v>
      </c>
      <c r="K16" s="311">
        <v>0</v>
      </c>
      <c r="L16" s="125">
        <v>38793.440000000002</v>
      </c>
      <c r="M16" s="126">
        <f t="shared" si="0"/>
        <v>0</v>
      </c>
      <c r="N16" s="127"/>
    </row>
    <row r="17" spans="1:14" s="149" customFormat="1" ht="60">
      <c r="A17" s="127">
        <v>10</v>
      </c>
      <c r="B17" s="127" t="s">
        <v>169</v>
      </c>
      <c r="C17" s="122" t="s">
        <v>170</v>
      </c>
      <c r="D17" s="122" t="s">
        <v>171</v>
      </c>
      <c r="E17" s="123" t="s">
        <v>141</v>
      </c>
      <c r="F17" s="129"/>
      <c r="G17" s="126">
        <v>91234.96</v>
      </c>
      <c r="H17" s="128">
        <v>42858</v>
      </c>
      <c r="I17" s="124" t="s">
        <v>142</v>
      </c>
      <c r="J17" s="124">
        <v>1</v>
      </c>
      <c r="K17" s="311">
        <v>0</v>
      </c>
      <c r="L17" s="125">
        <v>91234.96</v>
      </c>
      <c r="M17" s="126">
        <f t="shared" si="0"/>
        <v>0</v>
      </c>
      <c r="N17" s="127"/>
    </row>
    <row r="18" spans="1:14" s="149" customFormat="1" ht="60">
      <c r="A18" s="127">
        <v>11</v>
      </c>
      <c r="B18" s="312" t="s">
        <v>172</v>
      </c>
      <c r="C18" s="122" t="s">
        <v>173</v>
      </c>
      <c r="D18" s="122" t="s">
        <v>174</v>
      </c>
      <c r="E18" s="123" t="s">
        <v>141</v>
      </c>
      <c r="F18" s="129"/>
      <c r="G18" s="126">
        <v>46544.39</v>
      </c>
      <c r="H18" s="128">
        <v>42604</v>
      </c>
      <c r="I18" s="124">
        <v>1</v>
      </c>
      <c r="J18" s="124">
        <v>1</v>
      </c>
      <c r="K18" s="311">
        <v>0</v>
      </c>
      <c r="L18" s="125">
        <v>46544.39</v>
      </c>
      <c r="M18" s="126">
        <f t="shared" si="0"/>
        <v>0</v>
      </c>
      <c r="N18" s="127"/>
    </row>
    <row r="19" spans="1:14" s="149" customFormat="1" ht="60">
      <c r="A19" s="127">
        <v>12</v>
      </c>
      <c r="B19" s="127" t="s">
        <v>175</v>
      </c>
      <c r="C19" s="122" t="s">
        <v>176</v>
      </c>
      <c r="D19" s="122" t="s">
        <v>177</v>
      </c>
      <c r="E19" s="123" t="s">
        <v>141</v>
      </c>
      <c r="F19" s="129">
        <v>46400</v>
      </c>
      <c r="G19" s="126">
        <v>28310.26</v>
      </c>
      <c r="H19" s="128">
        <v>42593</v>
      </c>
      <c r="I19" s="124">
        <v>1</v>
      </c>
      <c r="J19" s="124">
        <v>1</v>
      </c>
      <c r="K19" s="311">
        <v>0</v>
      </c>
      <c r="L19" s="125">
        <v>28310.26</v>
      </c>
      <c r="M19" s="126">
        <f t="shared" si="0"/>
        <v>0</v>
      </c>
      <c r="N19" s="127"/>
    </row>
    <row r="20" spans="1:14" s="149" customFormat="1" ht="60">
      <c r="A20" s="127">
        <v>13</v>
      </c>
      <c r="B20" s="127" t="s">
        <v>178</v>
      </c>
      <c r="C20" s="122" t="s">
        <v>170</v>
      </c>
      <c r="D20" s="122" t="s">
        <v>140</v>
      </c>
      <c r="E20" s="123" t="s">
        <v>141</v>
      </c>
      <c r="F20" s="129"/>
      <c r="G20" s="126">
        <v>70655</v>
      </c>
      <c r="H20" s="128">
        <v>42710</v>
      </c>
      <c r="I20" s="124" t="s">
        <v>142</v>
      </c>
      <c r="J20" s="124">
        <v>1</v>
      </c>
      <c r="K20" s="311">
        <v>0</v>
      </c>
      <c r="L20" s="125">
        <v>70655</v>
      </c>
      <c r="M20" s="126">
        <f t="shared" si="0"/>
        <v>0</v>
      </c>
      <c r="N20" s="127"/>
    </row>
    <row r="21" spans="1:14" s="149" customFormat="1" ht="60">
      <c r="A21" s="127">
        <v>14</v>
      </c>
      <c r="B21" s="127" t="s">
        <v>179</v>
      </c>
      <c r="C21" s="122" t="s">
        <v>180</v>
      </c>
      <c r="D21" s="122" t="s">
        <v>181</v>
      </c>
      <c r="E21" s="123" t="s">
        <v>141</v>
      </c>
      <c r="F21" s="129"/>
      <c r="G21" s="126">
        <v>59307.45</v>
      </c>
      <c r="H21" s="128">
        <v>42629</v>
      </c>
      <c r="I21" s="124">
        <v>1</v>
      </c>
      <c r="J21" s="124">
        <v>1</v>
      </c>
      <c r="K21" s="311">
        <v>0</v>
      </c>
      <c r="L21" s="125">
        <v>59307.45</v>
      </c>
      <c r="M21" s="126">
        <f t="shared" si="0"/>
        <v>0</v>
      </c>
      <c r="N21" s="127" t="s">
        <v>156</v>
      </c>
    </row>
    <row r="22" spans="1:14" s="149" customFormat="1" ht="60">
      <c r="A22" s="127">
        <v>15</v>
      </c>
      <c r="B22" s="127" t="s">
        <v>182</v>
      </c>
      <c r="C22" s="123" t="s">
        <v>183</v>
      </c>
      <c r="D22" s="123" t="s">
        <v>184</v>
      </c>
      <c r="E22" s="123" t="s">
        <v>141</v>
      </c>
      <c r="F22" s="126">
        <v>374900</v>
      </c>
      <c r="G22" s="126">
        <v>244929.64</v>
      </c>
      <c r="H22" s="128">
        <v>43146</v>
      </c>
      <c r="I22" s="124">
        <v>1</v>
      </c>
      <c r="J22" s="124">
        <v>0.96</v>
      </c>
      <c r="K22" s="311">
        <v>0</v>
      </c>
      <c r="L22" s="125">
        <v>244929.64</v>
      </c>
      <c r="M22" s="126">
        <f t="shared" si="0"/>
        <v>0</v>
      </c>
      <c r="N22" s="127" t="s">
        <v>143</v>
      </c>
    </row>
    <row r="23" spans="1:14" s="149" customFormat="1" ht="60">
      <c r="A23" s="127">
        <v>16</v>
      </c>
      <c r="B23" s="127" t="s">
        <v>185</v>
      </c>
      <c r="C23" s="122" t="s">
        <v>186</v>
      </c>
      <c r="D23" s="122" t="s">
        <v>187</v>
      </c>
      <c r="E23" s="123" t="s">
        <v>141</v>
      </c>
      <c r="F23" s="129">
        <v>45200</v>
      </c>
      <c r="G23" s="126">
        <v>44550.11</v>
      </c>
      <c r="H23" s="128">
        <v>42717</v>
      </c>
      <c r="I23" s="124">
        <v>1</v>
      </c>
      <c r="J23" s="124">
        <v>1</v>
      </c>
      <c r="K23" s="311">
        <v>0</v>
      </c>
      <c r="L23" s="125">
        <v>44550.11</v>
      </c>
      <c r="M23" s="126">
        <f t="shared" si="0"/>
        <v>0</v>
      </c>
      <c r="N23" s="127" t="s">
        <v>156</v>
      </c>
    </row>
    <row r="24" spans="1:14" s="149" customFormat="1" ht="60">
      <c r="A24" s="127">
        <v>17</v>
      </c>
      <c r="B24" s="127" t="s">
        <v>188</v>
      </c>
      <c r="C24" s="122" t="s">
        <v>189</v>
      </c>
      <c r="D24" s="122" t="s">
        <v>190</v>
      </c>
      <c r="E24" s="123" t="s">
        <v>141</v>
      </c>
      <c r="F24" s="129">
        <v>37700</v>
      </c>
      <c r="G24" s="126">
        <v>28038.020000000004</v>
      </c>
      <c r="H24" s="128">
        <v>42465</v>
      </c>
      <c r="I24" s="124" t="s">
        <v>142</v>
      </c>
      <c r="J24" s="124">
        <v>1</v>
      </c>
      <c r="K24" s="311">
        <v>0</v>
      </c>
      <c r="L24" s="125">
        <v>28038.020000000004</v>
      </c>
      <c r="M24" s="126">
        <f t="shared" si="0"/>
        <v>0</v>
      </c>
      <c r="N24" s="127"/>
    </row>
    <row r="25" spans="1:14" s="149" customFormat="1" ht="60">
      <c r="A25" s="127">
        <v>18</v>
      </c>
      <c r="B25" s="127" t="s">
        <v>191</v>
      </c>
      <c r="C25" s="122" t="s">
        <v>192</v>
      </c>
      <c r="D25" s="122" t="s">
        <v>193</v>
      </c>
      <c r="E25" s="123" t="s">
        <v>141</v>
      </c>
      <c r="F25" s="129"/>
      <c r="G25" s="126">
        <v>74655.25</v>
      </c>
      <c r="H25" s="128">
        <v>42552</v>
      </c>
      <c r="I25" s="124">
        <v>1</v>
      </c>
      <c r="J25" s="124">
        <v>1</v>
      </c>
      <c r="K25" s="311">
        <v>0</v>
      </c>
      <c r="L25" s="129">
        <v>74655.25</v>
      </c>
      <c r="M25" s="126">
        <f t="shared" si="0"/>
        <v>0</v>
      </c>
      <c r="N25" s="127"/>
    </row>
    <row r="26" spans="1:14" s="149" customFormat="1" ht="60">
      <c r="A26" s="127">
        <v>19</v>
      </c>
      <c r="B26" s="127" t="s">
        <v>194</v>
      </c>
      <c r="C26" s="122" t="s">
        <v>195</v>
      </c>
      <c r="D26" s="122" t="s">
        <v>196</v>
      </c>
      <c r="E26" s="123" t="s">
        <v>141</v>
      </c>
      <c r="F26" s="129"/>
      <c r="G26" s="126">
        <v>62975.69</v>
      </c>
      <c r="H26" s="128">
        <v>42782</v>
      </c>
      <c r="I26" s="124" t="s">
        <v>142</v>
      </c>
      <c r="J26" s="124">
        <v>1</v>
      </c>
      <c r="K26" s="311">
        <v>0</v>
      </c>
      <c r="L26" s="125">
        <v>62975.69</v>
      </c>
      <c r="M26" s="126">
        <f t="shared" si="0"/>
        <v>0</v>
      </c>
      <c r="N26" s="127"/>
    </row>
    <row r="27" spans="1:14" s="149" customFormat="1" ht="60">
      <c r="A27" s="127">
        <v>20</v>
      </c>
      <c r="B27" s="127" t="s">
        <v>197</v>
      </c>
      <c r="C27" s="122" t="s">
        <v>198</v>
      </c>
      <c r="D27" s="122" t="s">
        <v>199</v>
      </c>
      <c r="E27" s="123" t="s">
        <v>141</v>
      </c>
      <c r="F27" s="129"/>
      <c r="G27" s="126">
        <v>103659.57</v>
      </c>
      <c r="H27" s="128">
        <v>42768</v>
      </c>
      <c r="I27" s="124">
        <v>1</v>
      </c>
      <c r="J27" s="124">
        <v>1</v>
      </c>
      <c r="K27" s="311">
        <v>0</v>
      </c>
      <c r="L27" s="125">
        <v>103659.57</v>
      </c>
      <c r="M27" s="126">
        <f t="shared" si="0"/>
        <v>0</v>
      </c>
      <c r="N27" s="127"/>
    </row>
    <row r="28" spans="1:14" s="149" customFormat="1" ht="60">
      <c r="A28" s="127">
        <v>21</v>
      </c>
      <c r="B28" s="127" t="s">
        <v>200</v>
      </c>
      <c r="C28" s="122" t="s">
        <v>201</v>
      </c>
      <c r="D28" s="122" t="s">
        <v>202</v>
      </c>
      <c r="E28" s="123" t="s">
        <v>141</v>
      </c>
      <c r="F28" s="129"/>
      <c r="G28" s="126">
        <v>165900</v>
      </c>
      <c r="H28" s="128">
        <v>43126</v>
      </c>
      <c r="I28" s="124">
        <v>1</v>
      </c>
      <c r="J28" s="124">
        <v>0.19</v>
      </c>
      <c r="K28" s="311">
        <v>49108.89</v>
      </c>
      <c r="L28" s="125">
        <v>116791.11</v>
      </c>
      <c r="M28" s="126">
        <f t="shared" si="0"/>
        <v>0</v>
      </c>
      <c r="N28" s="127"/>
    </row>
    <row r="29" spans="1:14" s="149" customFormat="1" ht="60">
      <c r="A29" s="127">
        <v>22</v>
      </c>
      <c r="B29" s="127" t="s">
        <v>203</v>
      </c>
      <c r="C29" s="122" t="s">
        <v>204</v>
      </c>
      <c r="D29" s="122" t="s">
        <v>205</v>
      </c>
      <c r="E29" s="123" t="s">
        <v>141</v>
      </c>
      <c r="F29" s="129"/>
      <c r="G29" s="126">
        <v>394700</v>
      </c>
      <c r="H29" s="128">
        <v>43455</v>
      </c>
      <c r="I29" s="124">
        <v>1</v>
      </c>
      <c r="J29" s="124">
        <v>0.02</v>
      </c>
      <c r="K29" s="311">
        <v>394700</v>
      </c>
      <c r="L29" s="125">
        <v>0</v>
      </c>
      <c r="M29" s="126">
        <f t="shared" si="0"/>
        <v>0</v>
      </c>
      <c r="N29" s="127" t="s">
        <v>143</v>
      </c>
    </row>
    <row r="30" spans="1:14" s="149" customFormat="1" ht="60">
      <c r="A30" s="127">
        <v>23</v>
      </c>
      <c r="B30" s="127" t="s">
        <v>206</v>
      </c>
      <c r="C30" s="122" t="s">
        <v>207</v>
      </c>
      <c r="D30" s="122" t="s">
        <v>208</v>
      </c>
      <c r="E30" s="123" t="s">
        <v>141</v>
      </c>
      <c r="F30" s="129"/>
      <c r="G30" s="126">
        <v>117722.98</v>
      </c>
      <c r="H30" s="128">
        <v>42917</v>
      </c>
      <c r="I30" s="124">
        <v>1</v>
      </c>
      <c r="J30" s="124">
        <v>1</v>
      </c>
      <c r="K30" s="311">
        <v>0</v>
      </c>
      <c r="L30" s="125">
        <v>117722.98</v>
      </c>
      <c r="M30" s="126">
        <f t="shared" si="0"/>
        <v>0</v>
      </c>
      <c r="N30" s="127"/>
    </row>
    <row r="31" spans="1:14" s="149" customFormat="1" ht="60">
      <c r="A31" s="127">
        <v>24</v>
      </c>
      <c r="B31" s="127" t="s">
        <v>209</v>
      </c>
      <c r="C31" s="122" t="s">
        <v>210</v>
      </c>
      <c r="D31" s="122" t="s">
        <v>211</v>
      </c>
      <c r="E31" s="123" t="s">
        <v>141</v>
      </c>
      <c r="F31" s="129"/>
      <c r="G31" s="126">
        <v>37576.660000000003</v>
      </c>
      <c r="H31" s="128">
        <v>42656</v>
      </c>
      <c r="I31" s="124">
        <v>1</v>
      </c>
      <c r="J31" s="124">
        <v>1</v>
      </c>
      <c r="K31" s="311">
        <v>0</v>
      </c>
      <c r="L31" s="125">
        <v>37576.660000000003</v>
      </c>
      <c r="M31" s="126">
        <f t="shared" si="0"/>
        <v>0</v>
      </c>
      <c r="N31" s="127"/>
    </row>
    <row r="32" spans="1:14" s="149" customFormat="1" ht="60">
      <c r="A32" s="127">
        <v>25</v>
      </c>
      <c r="B32" s="312" t="s">
        <v>212</v>
      </c>
      <c r="C32" s="122" t="s">
        <v>145</v>
      </c>
      <c r="D32" s="122" t="s">
        <v>213</v>
      </c>
      <c r="E32" s="123" t="s">
        <v>141</v>
      </c>
      <c r="F32" s="129"/>
      <c r="G32" s="126">
        <v>62837.16</v>
      </c>
      <c r="H32" s="128">
        <v>42612</v>
      </c>
      <c r="I32" s="124" t="s">
        <v>142</v>
      </c>
      <c r="J32" s="124">
        <v>1</v>
      </c>
      <c r="K32" s="311">
        <v>0</v>
      </c>
      <c r="L32" s="125">
        <v>62837.16</v>
      </c>
      <c r="M32" s="126">
        <f t="shared" si="0"/>
        <v>0</v>
      </c>
      <c r="N32" s="127" t="s">
        <v>156</v>
      </c>
    </row>
    <row r="33" spans="1:14" s="149" customFormat="1" ht="60">
      <c r="A33" s="127">
        <v>26</v>
      </c>
      <c r="B33" s="127" t="s">
        <v>214</v>
      </c>
      <c r="C33" s="122" t="s">
        <v>215</v>
      </c>
      <c r="D33" s="122" t="s">
        <v>216</v>
      </c>
      <c r="E33" s="123" t="s">
        <v>141</v>
      </c>
      <c r="F33" s="129">
        <v>2073900</v>
      </c>
      <c r="G33" s="126">
        <v>1933752.13</v>
      </c>
      <c r="H33" s="128">
        <v>42697</v>
      </c>
      <c r="I33" s="124">
        <v>1</v>
      </c>
      <c r="J33" s="124">
        <v>1</v>
      </c>
      <c r="K33" s="311">
        <v>0</v>
      </c>
      <c r="L33" s="125">
        <v>1933752.13</v>
      </c>
      <c r="M33" s="126">
        <f t="shared" si="0"/>
        <v>0</v>
      </c>
      <c r="N33" s="127"/>
    </row>
    <row r="34" spans="1:14" s="149" customFormat="1" ht="60">
      <c r="A34" s="127">
        <v>27</v>
      </c>
      <c r="B34" s="127" t="s">
        <v>217</v>
      </c>
      <c r="C34" s="122" t="s">
        <v>218</v>
      </c>
      <c r="D34" s="122" t="s">
        <v>219</v>
      </c>
      <c r="E34" s="123" t="s">
        <v>141</v>
      </c>
      <c r="F34" s="129">
        <v>1477100</v>
      </c>
      <c r="G34" s="126">
        <v>1381351.68</v>
      </c>
      <c r="H34" s="128">
        <v>42738</v>
      </c>
      <c r="I34" s="124">
        <v>1</v>
      </c>
      <c r="J34" s="124">
        <v>1</v>
      </c>
      <c r="K34" s="311">
        <v>0</v>
      </c>
      <c r="L34" s="125">
        <v>1381351.68</v>
      </c>
      <c r="M34" s="126">
        <f t="shared" si="0"/>
        <v>0</v>
      </c>
      <c r="N34" s="127" t="s">
        <v>143</v>
      </c>
    </row>
    <row r="35" spans="1:14" s="149" customFormat="1" ht="60">
      <c r="A35" s="127">
        <v>28</v>
      </c>
      <c r="B35" s="127" t="s">
        <v>220</v>
      </c>
      <c r="C35" s="122" t="s">
        <v>221</v>
      </c>
      <c r="D35" s="122" t="s">
        <v>222</v>
      </c>
      <c r="E35" s="123" t="s">
        <v>141</v>
      </c>
      <c r="F35" s="129">
        <v>1313200</v>
      </c>
      <c r="G35" s="126">
        <v>523384.8</v>
      </c>
      <c r="H35" s="128">
        <v>42723</v>
      </c>
      <c r="I35" s="124">
        <v>1</v>
      </c>
      <c r="J35" s="124">
        <v>1</v>
      </c>
      <c r="K35" s="311">
        <v>0</v>
      </c>
      <c r="L35" s="125">
        <v>523384.8</v>
      </c>
      <c r="M35" s="126">
        <f t="shared" si="0"/>
        <v>0</v>
      </c>
      <c r="N35" s="127"/>
    </row>
    <row r="36" spans="1:14" s="149" customFormat="1" ht="60">
      <c r="A36" s="127">
        <v>29</v>
      </c>
      <c r="B36" s="127" t="s">
        <v>223</v>
      </c>
      <c r="C36" s="122" t="s">
        <v>224</v>
      </c>
      <c r="D36" s="122" t="s">
        <v>225</v>
      </c>
      <c r="E36" s="123" t="s">
        <v>141</v>
      </c>
      <c r="F36" s="129">
        <v>324044.62</v>
      </c>
      <c r="G36" s="126">
        <v>336871.41</v>
      </c>
      <c r="H36" s="128">
        <v>42796</v>
      </c>
      <c r="I36" s="124">
        <v>1</v>
      </c>
      <c r="J36" s="124">
        <v>1</v>
      </c>
      <c r="K36" s="311">
        <v>0</v>
      </c>
      <c r="L36" s="125">
        <v>336871.41</v>
      </c>
      <c r="M36" s="126">
        <f t="shared" si="0"/>
        <v>0</v>
      </c>
      <c r="N36" s="127" t="s">
        <v>143</v>
      </c>
    </row>
    <row r="37" spans="1:14" s="149" customFormat="1" ht="60">
      <c r="A37" s="127">
        <v>30</v>
      </c>
      <c r="B37" s="127" t="s">
        <v>226</v>
      </c>
      <c r="C37" s="122" t="s">
        <v>227</v>
      </c>
      <c r="D37" s="122" t="s">
        <v>228</v>
      </c>
      <c r="E37" s="123" t="s">
        <v>141</v>
      </c>
      <c r="F37" s="129">
        <v>1616900</v>
      </c>
      <c r="G37" s="126">
        <v>1523228.71</v>
      </c>
      <c r="H37" s="128">
        <v>42649</v>
      </c>
      <c r="I37" s="124">
        <v>1</v>
      </c>
      <c r="J37" s="124">
        <v>1</v>
      </c>
      <c r="K37" s="311">
        <v>0</v>
      </c>
      <c r="L37" s="125">
        <v>1523228.71</v>
      </c>
      <c r="M37" s="126">
        <f t="shared" si="0"/>
        <v>0</v>
      </c>
      <c r="N37" s="127" t="s">
        <v>156</v>
      </c>
    </row>
    <row r="38" spans="1:14" s="149" customFormat="1" ht="60">
      <c r="A38" s="127">
        <v>31</v>
      </c>
      <c r="B38" s="127" t="s">
        <v>229</v>
      </c>
      <c r="C38" s="122" t="s">
        <v>230</v>
      </c>
      <c r="D38" s="122" t="s">
        <v>231</v>
      </c>
      <c r="E38" s="123" t="s">
        <v>141</v>
      </c>
      <c r="F38" s="129">
        <v>7461800</v>
      </c>
      <c r="G38" s="126">
        <v>7088705.3200000003</v>
      </c>
      <c r="H38" s="128">
        <v>43120</v>
      </c>
      <c r="I38" s="124">
        <v>1</v>
      </c>
      <c r="J38" s="124">
        <v>0.76</v>
      </c>
      <c r="K38" s="311">
        <v>2272212.36</v>
      </c>
      <c r="L38" s="125">
        <v>4816492.96</v>
      </c>
      <c r="M38" s="126">
        <f t="shared" si="0"/>
        <v>0</v>
      </c>
      <c r="N38" s="127"/>
    </row>
    <row r="39" spans="1:14" s="149" customFormat="1" ht="60">
      <c r="A39" s="127">
        <v>32</v>
      </c>
      <c r="B39" s="127" t="s">
        <v>232</v>
      </c>
      <c r="C39" s="122" t="s">
        <v>173</v>
      </c>
      <c r="D39" s="122" t="s">
        <v>233</v>
      </c>
      <c r="E39" s="123" t="s">
        <v>141</v>
      </c>
      <c r="F39" s="129">
        <v>5494300</v>
      </c>
      <c r="G39" s="126">
        <v>5219582.07</v>
      </c>
      <c r="H39" s="128">
        <v>43041</v>
      </c>
      <c r="I39" s="124">
        <v>1</v>
      </c>
      <c r="J39" s="124">
        <v>1</v>
      </c>
      <c r="K39" s="311">
        <v>208263.38</v>
      </c>
      <c r="L39" s="125">
        <v>5011318.6900000004</v>
      </c>
      <c r="M39" s="126">
        <f t="shared" si="0"/>
        <v>0</v>
      </c>
      <c r="N39" s="127" t="s">
        <v>143</v>
      </c>
    </row>
    <row r="40" spans="1:14" s="149" customFormat="1" ht="60">
      <c r="A40" s="127">
        <v>33</v>
      </c>
      <c r="B40" s="127" t="s">
        <v>234</v>
      </c>
      <c r="C40" s="122" t="s">
        <v>235</v>
      </c>
      <c r="D40" s="122" t="s">
        <v>236</v>
      </c>
      <c r="E40" s="123" t="s">
        <v>141</v>
      </c>
      <c r="F40" s="129">
        <v>839916</v>
      </c>
      <c r="G40" s="126">
        <v>773894.02</v>
      </c>
      <c r="H40" s="128">
        <v>42557</v>
      </c>
      <c r="I40" s="124">
        <v>1</v>
      </c>
      <c r="J40" s="124">
        <v>1</v>
      </c>
      <c r="K40" s="311">
        <v>0</v>
      </c>
      <c r="L40" s="125">
        <v>773894.02</v>
      </c>
      <c r="M40" s="126">
        <f t="shared" si="0"/>
        <v>0</v>
      </c>
      <c r="N40" s="127"/>
    </row>
    <row r="41" spans="1:14" s="149" customFormat="1" ht="60">
      <c r="A41" s="127">
        <v>34</v>
      </c>
      <c r="B41" s="127" t="s">
        <v>237</v>
      </c>
      <c r="C41" s="122" t="s">
        <v>238</v>
      </c>
      <c r="D41" s="122" t="s">
        <v>239</v>
      </c>
      <c r="E41" s="123" t="s">
        <v>141</v>
      </c>
      <c r="F41" s="129">
        <v>484400</v>
      </c>
      <c r="G41" s="126">
        <v>484400</v>
      </c>
      <c r="H41" s="128">
        <v>43154</v>
      </c>
      <c r="I41" s="124">
        <v>1</v>
      </c>
      <c r="J41" s="124">
        <v>0.41</v>
      </c>
      <c r="K41" s="311">
        <v>267051.19</v>
      </c>
      <c r="L41" s="125">
        <v>217348.81</v>
      </c>
      <c r="M41" s="126">
        <f t="shared" si="0"/>
        <v>0</v>
      </c>
      <c r="N41" s="127" t="s">
        <v>143</v>
      </c>
    </row>
    <row r="42" spans="1:14" s="149" customFormat="1" ht="60">
      <c r="A42" s="127">
        <v>35</v>
      </c>
      <c r="B42" s="127" t="s">
        <v>240</v>
      </c>
      <c r="C42" s="122" t="s">
        <v>241</v>
      </c>
      <c r="D42" s="122" t="s">
        <v>242</v>
      </c>
      <c r="E42" s="123" t="s">
        <v>141</v>
      </c>
      <c r="F42" s="129">
        <v>107300</v>
      </c>
      <c r="G42" s="126">
        <v>119770</v>
      </c>
      <c r="H42" s="128">
        <v>42486</v>
      </c>
      <c r="I42" s="124">
        <v>1</v>
      </c>
      <c r="J42" s="124">
        <v>1</v>
      </c>
      <c r="K42" s="311">
        <v>0</v>
      </c>
      <c r="L42" s="125">
        <v>119770</v>
      </c>
      <c r="M42" s="126">
        <f t="shared" si="0"/>
        <v>0</v>
      </c>
      <c r="N42" s="127"/>
    </row>
    <row r="43" spans="1:14" s="149" customFormat="1" ht="60">
      <c r="A43" s="127">
        <v>36</v>
      </c>
      <c r="B43" s="127" t="s">
        <v>243</v>
      </c>
      <c r="C43" s="122" t="s">
        <v>244</v>
      </c>
      <c r="D43" s="122" t="s">
        <v>245</v>
      </c>
      <c r="E43" s="123" t="s">
        <v>141</v>
      </c>
      <c r="F43" s="129">
        <v>747200</v>
      </c>
      <c r="G43" s="126">
        <v>730358.77</v>
      </c>
      <c r="H43" s="128">
        <v>42548</v>
      </c>
      <c r="I43" s="124">
        <v>1</v>
      </c>
      <c r="J43" s="124">
        <v>1</v>
      </c>
      <c r="K43" s="311">
        <v>0</v>
      </c>
      <c r="L43" s="125">
        <v>730358.77</v>
      </c>
      <c r="M43" s="126">
        <f t="shared" si="0"/>
        <v>0</v>
      </c>
      <c r="N43" s="127"/>
    </row>
    <row r="44" spans="1:14" s="149" customFormat="1" ht="60">
      <c r="A44" s="127">
        <v>37</v>
      </c>
      <c r="B44" s="127" t="s">
        <v>246</v>
      </c>
      <c r="C44" s="122" t="s">
        <v>247</v>
      </c>
      <c r="D44" s="122" t="s">
        <v>248</v>
      </c>
      <c r="E44" s="123" t="s">
        <v>141</v>
      </c>
      <c r="F44" s="129">
        <v>461800</v>
      </c>
      <c r="G44" s="126">
        <v>317886.63</v>
      </c>
      <c r="H44" s="128">
        <v>42521</v>
      </c>
      <c r="I44" s="124">
        <v>1</v>
      </c>
      <c r="J44" s="124">
        <v>1</v>
      </c>
      <c r="K44" s="311">
        <v>0</v>
      </c>
      <c r="L44" s="125">
        <v>317886.63</v>
      </c>
      <c r="M44" s="126">
        <f t="shared" si="0"/>
        <v>0</v>
      </c>
      <c r="N44" s="127"/>
    </row>
    <row r="45" spans="1:14" s="149" customFormat="1" ht="60">
      <c r="A45" s="127">
        <v>38</v>
      </c>
      <c r="B45" s="312" t="s">
        <v>249</v>
      </c>
      <c r="C45" s="122" t="s">
        <v>250</v>
      </c>
      <c r="D45" s="122" t="s">
        <v>251</v>
      </c>
      <c r="E45" s="123" t="s">
        <v>141</v>
      </c>
      <c r="F45" s="129">
        <v>148700</v>
      </c>
      <c r="G45" s="126">
        <v>184681.21</v>
      </c>
      <c r="H45" s="128">
        <v>42586</v>
      </c>
      <c r="I45" s="124">
        <v>1</v>
      </c>
      <c r="J45" s="124">
        <v>1</v>
      </c>
      <c r="K45" s="311">
        <v>0</v>
      </c>
      <c r="L45" s="125">
        <v>184681.21</v>
      </c>
      <c r="M45" s="126">
        <f t="shared" si="0"/>
        <v>0</v>
      </c>
      <c r="N45" s="127"/>
    </row>
    <row r="46" spans="1:14" s="149" customFormat="1" ht="60">
      <c r="A46" s="127">
        <v>39</v>
      </c>
      <c r="B46" s="127" t="s">
        <v>252</v>
      </c>
      <c r="C46" s="122" t="s">
        <v>253</v>
      </c>
      <c r="D46" s="122" t="s">
        <v>254</v>
      </c>
      <c r="E46" s="123" t="s">
        <v>141</v>
      </c>
      <c r="F46" s="129">
        <v>121200</v>
      </c>
      <c r="G46" s="126">
        <v>196600</v>
      </c>
      <c r="H46" s="128">
        <v>42669</v>
      </c>
      <c r="I46" s="124">
        <v>1</v>
      </c>
      <c r="J46" s="124">
        <v>1</v>
      </c>
      <c r="K46" s="311">
        <v>0</v>
      </c>
      <c r="L46" s="125">
        <v>196600</v>
      </c>
      <c r="M46" s="126">
        <f t="shared" si="0"/>
        <v>0</v>
      </c>
      <c r="N46" s="127"/>
    </row>
    <row r="47" spans="1:14" s="149" customFormat="1" ht="60">
      <c r="A47" s="127">
        <v>40</v>
      </c>
      <c r="B47" s="127" t="s">
        <v>255</v>
      </c>
      <c r="C47" s="122" t="s">
        <v>186</v>
      </c>
      <c r="D47" s="122" t="s">
        <v>256</v>
      </c>
      <c r="E47" s="123" t="s">
        <v>257</v>
      </c>
      <c r="F47" s="129">
        <v>156400</v>
      </c>
      <c r="G47" s="126">
        <v>441300</v>
      </c>
      <c r="H47" s="128">
        <v>43160</v>
      </c>
      <c r="I47" s="124">
        <v>1</v>
      </c>
      <c r="J47" s="124">
        <v>0.39</v>
      </c>
      <c r="K47" s="311">
        <v>385714.19</v>
      </c>
      <c r="L47" s="125">
        <v>55585.81</v>
      </c>
      <c r="M47" s="126">
        <f t="shared" si="0"/>
        <v>0</v>
      </c>
      <c r="N47" s="127"/>
    </row>
    <row r="48" spans="1:14" s="149" customFormat="1" ht="60">
      <c r="A48" s="127">
        <v>41</v>
      </c>
      <c r="B48" s="127" t="s">
        <v>258</v>
      </c>
      <c r="C48" s="122" t="s">
        <v>151</v>
      </c>
      <c r="D48" s="122" t="s">
        <v>259</v>
      </c>
      <c r="E48" s="123" t="s">
        <v>141</v>
      </c>
      <c r="F48" s="129">
        <v>347200</v>
      </c>
      <c r="G48" s="126">
        <v>355474.56</v>
      </c>
      <c r="H48" s="128">
        <v>42542</v>
      </c>
      <c r="I48" s="124">
        <v>1</v>
      </c>
      <c r="J48" s="124">
        <v>1</v>
      </c>
      <c r="K48" s="311">
        <v>0</v>
      </c>
      <c r="L48" s="125">
        <v>355474.56</v>
      </c>
      <c r="M48" s="126">
        <f t="shared" si="0"/>
        <v>0</v>
      </c>
      <c r="N48" s="127"/>
    </row>
    <row r="49" spans="1:14" s="149" customFormat="1" ht="60">
      <c r="A49" s="127">
        <v>42</v>
      </c>
      <c r="B49" s="127" t="s">
        <v>260</v>
      </c>
      <c r="C49" s="122" t="s">
        <v>261</v>
      </c>
      <c r="D49" s="122" t="s">
        <v>262</v>
      </c>
      <c r="E49" s="123" t="s">
        <v>141</v>
      </c>
      <c r="F49" s="129">
        <v>7891200</v>
      </c>
      <c r="G49" s="126">
        <v>8387779.9199999999</v>
      </c>
      <c r="H49" s="128">
        <v>43296</v>
      </c>
      <c r="I49" s="124">
        <v>1</v>
      </c>
      <c r="J49" s="124">
        <v>0.53</v>
      </c>
      <c r="K49" s="311">
        <v>4358873.92</v>
      </c>
      <c r="L49" s="125">
        <v>4028906</v>
      </c>
      <c r="M49" s="126">
        <f t="shared" si="0"/>
        <v>0</v>
      </c>
      <c r="N49" s="127" t="s">
        <v>143</v>
      </c>
    </row>
    <row r="50" spans="1:14" s="149" customFormat="1" ht="60">
      <c r="A50" s="127">
        <v>43</v>
      </c>
      <c r="B50" s="127" t="s">
        <v>263</v>
      </c>
      <c r="C50" s="122" t="s">
        <v>221</v>
      </c>
      <c r="D50" s="122" t="s">
        <v>264</v>
      </c>
      <c r="E50" s="123" t="s">
        <v>141</v>
      </c>
      <c r="F50" s="129">
        <v>626900</v>
      </c>
      <c r="G50" s="126">
        <v>617981.86</v>
      </c>
      <c r="H50" s="128">
        <v>42621</v>
      </c>
      <c r="I50" s="124">
        <v>1</v>
      </c>
      <c r="J50" s="124">
        <v>1</v>
      </c>
      <c r="K50" s="311">
        <v>0</v>
      </c>
      <c r="L50" s="125">
        <v>617981.86</v>
      </c>
      <c r="M50" s="126">
        <f t="shared" si="0"/>
        <v>0</v>
      </c>
      <c r="N50" s="127"/>
    </row>
    <row r="51" spans="1:14" s="149" customFormat="1" ht="60">
      <c r="A51" s="127">
        <v>44</v>
      </c>
      <c r="B51" s="127" t="s">
        <v>265</v>
      </c>
      <c r="C51" s="122" t="s">
        <v>266</v>
      </c>
      <c r="D51" s="122" t="s">
        <v>267</v>
      </c>
      <c r="E51" s="123" t="s">
        <v>141</v>
      </c>
      <c r="F51" s="129">
        <v>337800</v>
      </c>
      <c r="G51" s="126">
        <v>488483.25</v>
      </c>
      <c r="H51" s="128">
        <v>42598</v>
      </c>
      <c r="I51" s="124">
        <v>1</v>
      </c>
      <c r="J51" s="124">
        <v>1</v>
      </c>
      <c r="K51" s="311">
        <v>0</v>
      </c>
      <c r="L51" s="125">
        <v>488483.25</v>
      </c>
      <c r="M51" s="126">
        <f t="shared" si="0"/>
        <v>0</v>
      </c>
      <c r="N51" s="127"/>
    </row>
    <row r="52" spans="1:14" s="149" customFormat="1" ht="60">
      <c r="A52" s="127">
        <v>45</v>
      </c>
      <c r="B52" s="127" t="s">
        <v>268</v>
      </c>
      <c r="C52" s="122" t="s">
        <v>269</v>
      </c>
      <c r="D52" s="122" t="s">
        <v>270</v>
      </c>
      <c r="E52" s="123" t="s">
        <v>141</v>
      </c>
      <c r="F52" s="129">
        <v>3304198</v>
      </c>
      <c r="G52" s="126">
        <v>1826177.65</v>
      </c>
      <c r="H52" s="128">
        <v>42766</v>
      </c>
      <c r="I52" s="124">
        <v>1</v>
      </c>
      <c r="J52" s="124">
        <v>1</v>
      </c>
      <c r="K52" s="311">
        <v>0</v>
      </c>
      <c r="L52" s="125">
        <v>1826177.65</v>
      </c>
      <c r="M52" s="126">
        <f t="shared" si="0"/>
        <v>0</v>
      </c>
      <c r="N52" s="127"/>
    </row>
    <row r="53" spans="1:14" s="149" customFormat="1" ht="60">
      <c r="A53" s="127">
        <v>46</v>
      </c>
      <c r="B53" s="127" t="s">
        <v>271</v>
      </c>
      <c r="C53" s="122" t="s">
        <v>230</v>
      </c>
      <c r="D53" s="122" t="s">
        <v>272</v>
      </c>
      <c r="E53" s="123" t="s">
        <v>141</v>
      </c>
      <c r="F53" s="129">
        <v>420000</v>
      </c>
      <c r="G53" s="126">
        <v>149500</v>
      </c>
      <c r="H53" s="128">
        <v>43119</v>
      </c>
      <c r="I53" s="124">
        <v>0.86</v>
      </c>
      <c r="J53" s="124" t="s">
        <v>142</v>
      </c>
      <c r="K53" s="311">
        <v>101491.13</v>
      </c>
      <c r="L53" s="125">
        <v>48008.87</v>
      </c>
      <c r="M53" s="126">
        <f t="shared" si="0"/>
        <v>0</v>
      </c>
      <c r="N53" s="127" t="s">
        <v>143</v>
      </c>
    </row>
    <row r="54" spans="1:14" s="149" customFormat="1" ht="60">
      <c r="A54" s="127">
        <v>47</v>
      </c>
      <c r="B54" s="127" t="s">
        <v>273</v>
      </c>
      <c r="C54" s="122" t="s">
        <v>173</v>
      </c>
      <c r="D54" s="122" t="s">
        <v>272</v>
      </c>
      <c r="E54" s="123" t="s">
        <v>141</v>
      </c>
      <c r="F54" s="129">
        <v>420000</v>
      </c>
      <c r="G54" s="126">
        <v>195600</v>
      </c>
      <c r="H54" s="128">
        <v>43112</v>
      </c>
      <c r="I54" s="124">
        <v>0.98</v>
      </c>
      <c r="J54" s="124" t="s">
        <v>142</v>
      </c>
      <c r="K54" s="311">
        <v>156222</v>
      </c>
      <c r="L54" s="125">
        <v>39378</v>
      </c>
      <c r="M54" s="126">
        <f t="shared" si="0"/>
        <v>0</v>
      </c>
      <c r="N54" s="127" t="s">
        <v>143</v>
      </c>
    </row>
    <row r="55" spans="1:14" s="149" customFormat="1" ht="60">
      <c r="A55" s="127">
        <v>48</v>
      </c>
      <c r="B55" s="127" t="s">
        <v>274</v>
      </c>
      <c r="C55" s="122" t="s">
        <v>198</v>
      </c>
      <c r="D55" s="122" t="s">
        <v>275</v>
      </c>
      <c r="E55" s="123" t="s">
        <v>141</v>
      </c>
      <c r="F55" s="129">
        <v>407000</v>
      </c>
      <c r="G55" s="126">
        <v>637.39</v>
      </c>
      <c r="H55" s="128" t="s">
        <v>142</v>
      </c>
      <c r="I55" s="124" t="s">
        <v>142</v>
      </c>
      <c r="J55" s="124" t="s">
        <v>142</v>
      </c>
      <c r="K55" s="311">
        <v>0</v>
      </c>
      <c r="L55" s="125">
        <v>637.39</v>
      </c>
      <c r="M55" s="126">
        <f t="shared" si="0"/>
        <v>0</v>
      </c>
      <c r="N55" s="127"/>
    </row>
    <row r="56" spans="1:14" s="149" customFormat="1" ht="60">
      <c r="A56" s="127">
        <v>49</v>
      </c>
      <c r="B56" s="127" t="s">
        <v>276</v>
      </c>
      <c r="C56" s="122" t="s">
        <v>277</v>
      </c>
      <c r="D56" s="122" t="s">
        <v>278</v>
      </c>
      <c r="E56" s="123" t="s">
        <v>141</v>
      </c>
      <c r="F56" s="129">
        <v>1881800</v>
      </c>
      <c r="G56" s="126">
        <v>833971.47</v>
      </c>
      <c r="H56" s="128">
        <v>43168</v>
      </c>
      <c r="I56" s="124">
        <v>1</v>
      </c>
      <c r="J56" s="124">
        <v>0</v>
      </c>
      <c r="K56" s="311">
        <v>469063.06</v>
      </c>
      <c r="L56" s="125">
        <v>364908.41</v>
      </c>
      <c r="M56" s="126">
        <f t="shared" si="0"/>
        <v>0</v>
      </c>
      <c r="N56" s="127" t="s">
        <v>143</v>
      </c>
    </row>
    <row r="57" spans="1:14" s="149" customFormat="1" ht="60">
      <c r="A57" s="127">
        <v>50</v>
      </c>
      <c r="B57" s="127" t="s">
        <v>279</v>
      </c>
      <c r="C57" s="122" t="s">
        <v>198</v>
      </c>
      <c r="D57" s="122" t="s">
        <v>280</v>
      </c>
      <c r="E57" s="123" t="s">
        <v>141</v>
      </c>
      <c r="F57" s="129">
        <v>110100</v>
      </c>
      <c r="G57" s="126">
        <v>116428.53</v>
      </c>
      <c r="H57" s="128">
        <v>42649</v>
      </c>
      <c r="I57" s="124">
        <v>1</v>
      </c>
      <c r="J57" s="124">
        <v>1</v>
      </c>
      <c r="K57" s="311">
        <v>0</v>
      </c>
      <c r="L57" s="125">
        <v>116428.53</v>
      </c>
      <c r="M57" s="126">
        <f t="shared" si="0"/>
        <v>0</v>
      </c>
      <c r="N57" s="127"/>
    </row>
    <row r="58" spans="1:14" s="149" customFormat="1" ht="60">
      <c r="A58" s="127">
        <v>51</v>
      </c>
      <c r="B58" s="127" t="s">
        <v>281</v>
      </c>
      <c r="C58" s="122" t="s">
        <v>151</v>
      </c>
      <c r="D58" s="122" t="s">
        <v>282</v>
      </c>
      <c r="E58" s="123" t="s">
        <v>141</v>
      </c>
      <c r="F58" s="129">
        <v>109200</v>
      </c>
      <c r="G58" s="126">
        <v>108613.32</v>
      </c>
      <c r="H58" s="128">
        <v>42944</v>
      </c>
      <c r="I58" s="124">
        <v>1</v>
      </c>
      <c r="J58" s="124">
        <v>1</v>
      </c>
      <c r="K58" s="311">
        <v>0</v>
      </c>
      <c r="L58" s="125">
        <v>108613.32</v>
      </c>
      <c r="M58" s="126">
        <f t="shared" si="0"/>
        <v>0</v>
      </c>
      <c r="N58" s="127"/>
    </row>
    <row r="59" spans="1:14" s="149" customFormat="1" ht="60">
      <c r="A59" s="127">
        <v>52</v>
      </c>
      <c r="B59" s="127" t="s">
        <v>283</v>
      </c>
      <c r="C59" s="122" t="s">
        <v>215</v>
      </c>
      <c r="D59" s="122" t="s">
        <v>282</v>
      </c>
      <c r="E59" s="123" t="s">
        <v>141</v>
      </c>
      <c r="F59" s="129">
        <v>106700</v>
      </c>
      <c r="G59" s="126">
        <v>104676.96</v>
      </c>
      <c r="H59" s="128">
        <v>42880</v>
      </c>
      <c r="I59" s="124">
        <v>1</v>
      </c>
      <c r="J59" s="124">
        <v>1</v>
      </c>
      <c r="K59" s="311">
        <v>0</v>
      </c>
      <c r="L59" s="125">
        <v>104676.96</v>
      </c>
      <c r="M59" s="126">
        <f t="shared" si="0"/>
        <v>0</v>
      </c>
      <c r="N59" s="127"/>
    </row>
    <row r="60" spans="1:14" s="149" customFormat="1" ht="60">
      <c r="A60" s="127">
        <v>53</v>
      </c>
      <c r="B60" s="127" t="s">
        <v>284</v>
      </c>
      <c r="C60" s="122" t="s">
        <v>198</v>
      </c>
      <c r="D60" s="122" t="s">
        <v>285</v>
      </c>
      <c r="E60" s="123" t="s">
        <v>141</v>
      </c>
      <c r="F60" s="129">
        <v>19300</v>
      </c>
      <c r="G60" s="126">
        <v>19300</v>
      </c>
      <c r="H60" s="128">
        <v>43210</v>
      </c>
      <c r="I60" s="124">
        <v>1</v>
      </c>
      <c r="J60" s="124">
        <v>0.5</v>
      </c>
      <c r="K60" s="311">
        <v>1585.32</v>
      </c>
      <c r="L60" s="125">
        <v>17714.68</v>
      </c>
      <c r="M60" s="126">
        <f t="shared" si="0"/>
        <v>0</v>
      </c>
      <c r="N60" s="127" t="s">
        <v>143</v>
      </c>
    </row>
    <row r="61" spans="1:14" s="149" customFormat="1" ht="60">
      <c r="A61" s="127">
        <v>54</v>
      </c>
      <c r="B61" s="127" t="s">
        <v>286</v>
      </c>
      <c r="C61" s="122" t="s">
        <v>277</v>
      </c>
      <c r="D61" s="122" t="s">
        <v>287</v>
      </c>
      <c r="E61" s="123" t="s">
        <v>141</v>
      </c>
      <c r="F61" s="129">
        <v>65700</v>
      </c>
      <c r="G61" s="126">
        <v>65700</v>
      </c>
      <c r="H61" s="128">
        <v>43735</v>
      </c>
      <c r="I61" s="124">
        <v>1</v>
      </c>
      <c r="J61" s="124">
        <v>0.09</v>
      </c>
      <c r="K61" s="311">
        <v>36297.629999999997</v>
      </c>
      <c r="L61" s="125">
        <v>29402.37</v>
      </c>
      <c r="M61" s="126">
        <f t="shared" si="0"/>
        <v>0</v>
      </c>
      <c r="N61" s="127"/>
    </row>
    <row r="62" spans="1:14" s="149" customFormat="1" ht="60">
      <c r="A62" s="127">
        <v>55</v>
      </c>
      <c r="B62" s="127" t="s">
        <v>288</v>
      </c>
      <c r="C62" s="122" t="s">
        <v>198</v>
      </c>
      <c r="D62" s="122" t="s">
        <v>289</v>
      </c>
      <c r="E62" s="123" t="s">
        <v>141</v>
      </c>
      <c r="F62" s="129">
        <v>49600</v>
      </c>
      <c r="G62" s="126">
        <v>46138.97</v>
      </c>
      <c r="H62" s="128">
        <v>42579</v>
      </c>
      <c r="I62" s="124">
        <v>1</v>
      </c>
      <c r="J62" s="124">
        <v>1</v>
      </c>
      <c r="K62" s="311">
        <v>0</v>
      </c>
      <c r="L62" s="125">
        <v>46138.97</v>
      </c>
      <c r="M62" s="126">
        <f t="shared" si="0"/>
        <v>0</v>
      </c>
      <c r="N62" s="127"/>
    </row>
    <row r="63" spans="1:14" s="149" customFormat="1" ht="60">
      <c r="A63" s="127">
        <v>56</v>
      </c>
      <c r="B63" s="127" t="s">
        <v>290</v>
      </c>
      <c r="C63" s="122" t="s">
        <v>164</v>
      </c>
      <c r="D63" s="122" t="s">
        <v>291</v>
      </c>
      <c r="E63" s="123" t="s">
        <v>141</v>
      </c>
      <c r="F63" s="129">
        <v>17700</v>
      </c>
      <c r="G63" s="126">
        <v>332.62</v>
      </c>
      <c r="H63" s="128" t="s">
        <v>142</v>
      </c>
      <c r="I63" s="124" t="s">
        <v>142</v>
      </c>
      <c r="J63" s="124" t="s">
        <v>142</v>
      </c>
      <c r="K63" s="311">
        <v>0</v>
      </c>
      <c r="L63" s="125">
        <v>332.62</v>
      </c>
      <c r="M63" s="126">
        <f t="shared" si="0"/>
        <v>0</v>
      </c>
      <c r="N63" s="127" t="s">
        <v>143</v>
      </c>
    </row>
    <row r="64" spans="1:14" s="149" customFormat="1" ht="60">
      <c r="A64" s="127">
        <v>57</v>
      </c>
      <c r="B64" s="127" t="s">
        <v>292</v>
      </c>
      <c r="C64" s="122" t="s">
        <v>293</v>
      </c>
      <c r="D64" s="122" t="s">
        <v>294</v>
      </c>
      <c r="E64" s="123" t="s">
        <v>141</v>
      </c>
      <c r="F64" s="129">
        <v>153100</v>
      </c>
      <c r="G64" s="126">
        <v>153100</v>
      </c>
      <c r="H64" s="128">
        <v>42864</v>
      </c>
      <c r="I64" s="124">
        <v>1</v>
      </c>
      <c r="J64" s="124">
        <v>1</v>
      </c>
      <c r="K64" s="311">
        <v>11278.87</v>
      </c>
      <c r="L64" s="125">
        <v>141821.13</v>
      </c>
      <c r="M64" s="126">
        <f t="shared" si="0"/>
        <v>0</v>
      </c>
      <c r="N64" s="127"/>
    </row>
    <row r="65" spans="1:14" s="149" customFormat="1" ht="60">
      <c r="A65" s="127">
        <v>58</v>
      </c>
      <c r="B65" s="127" t="s">
        <v>295</v>
      </c>
      <c r="C65" s="122" t="s">
        <v>238</v>
      </c>
      <c r="D65" s="122" t="s">
        <v>296</v>
      </c>
      <c r="E65" s="123" t="s">
        <v>141</v>
      </c>
      <c r="F65" s="129">
        <v>92900</v>
      </c>
      <c r="G65" s="126">
        <v>81100</v>
      </c>
      <c r="H65" s="128">
        <v>43069</v>
      </c>
      <c r="I65" s="124">
        <v>1</v>
      </c>
      <c r="J65" s="124">
        <v>1</v>
      </c>
      <c r="K65" s="311">
        <v>4066.59</v>
      </c>
      <c r="L65" s="125">
        <v>77033.41</v>
      </c>
      <c r="M65" s="126">
        <f t="shared" si="0"/>
        <v>0</v>
      </c>
      <c r="N65" s="127" t="s">
        <v>143</v>
      </c>
    </row>
    <row r="66" spans="1:14" s="149" customFormat="1" ht="60">
      <c r="A66" s="127">
        <v>59</v>
      </c>
      <c r="B66" s="312" t="s">
        <v>297</v>
      </c>
      <c r="C66" s="122" t="s">
        <v>173</v>
      </c>
      <c r="D66" s="122" t="s">
        <v>298</v>
      </c>
      <c r="E66" s="123" t="s">
        <v>141</v>
      </c>
      <c r="F66" s="129"/>
      <c r="G66" s="126">
        <v>39200</v>
      </c>
      <c r="H66" s="128">
        <v>42498</v>
      </c>
      <c r="I66" s="124" t="s">
        <v>142</v>
      </c>
      <c r="J66" s="124">
        <v>1</v>
      </c>
      <c r="K66" s="311">
        <v>0</v>
      </c>
      <c r="L66" s="125">
        <v>39200</v>
      </c>
      <c r="M66" s="126">
        <f t="shared" si="0"/>
        <v>0</v>
      </c>
      <c r="N66" s="127"/>
    </row>
    <row r="67" spans="1:14" s="149" customFormat="1" ht="60">
      <c r="A67" s="127">
        <v>60</v>
      </c>
      <c r="B67" s="127" t="s">
        <v>299</v>
      </c>
      <c r="C67" s="122" t="s">
        <v>300</v>
      </c>
      <c r="D67" s="122" t="s">
        <v>301</v>
      </c>
      <c r="E67" s="123" t="s">
        <v>141</v>
      </c>
      <c r="F67" s="129">
        <v>55800</v>
      </c>
      <c r="G67" s="126">
        <v>60770.67</v>
      </c>
      <c r="H67" s="128">
        <v>42829</v>
      </c>
      <c r="I67" s="124">
        <v>1</v>
      </c>
      <c r="J67" s="124">
        <v>1</v>
      </c>
      <c r="K67" s="311">
        <v>0</v>
      </c>
      <c r="L67" s="125">
        <v>60770.67</v>
      </c>
      <c r="M67" s="126">
        <f t="shared" si="0"/>
        <v>0</v>
      </c>
      <c r="N67" s="127"/>
    </row>
    <row r="68" spans="1:14" s="149" customFormat="1" ht="60">
      <c r="A68" s="127">
        <v>61</v>
      </c>
      <c r="B68" s="127" t="s">
        <v>302</v>
      </c>
      <c r="C68" s="122" t="s">
        <v>215</v>
      </c>
      <c r="D68" s="122" t="s">
        <v>303</v>
      </c>
      <c r="E68" s="123" t="s">
        <v>141</v>
      </c>
      <c r="F68" s="129">
        <v>35100</v>
      </c>
      <c r="G68" s="126">
        <v>66028.320000000007</v>
      </c>
      <c r="H68" s="128">
        <v>43122</v>
      </c>
      <c r="I68" s="124">
        <v>1</v>
      </c>
      <c r="J68" s="124">
        <v>0.96</v>
      </c>
      <c r="K68" s="311">
        <v>0</v>
      </c>
      <c r="L68" s="125">
        <v>66028.320000000007</v>
      </c>
      <c r="M68" s="126">
        <f t="shared" si="0"/>
        <v>0</v>
      </c>
      <c r="N68" s="127" t="s">
        <v>143</v>
      </c>
    </row>
    <row r="69" spans="1:14" s="149" customFormat="1" ht="60">
      <c r="A69" s="127">
        <v>62</v>
      </c>
      <c r="B69" s="127" t="s">
        <v>304</v>
      </c>
      <c r="C69" s="122" t="s">
        <v>305</v>
      </c>
      <c r="D69" s="122" t="s">
        <v>303</v>
      </c>
      <c r="E69" s="123" t="s">
        <v>141</v>
      </c>
      <c r="F69" s="129">
        <v>162200</v>
      </c>
      <c r="G69" s="126">
        <v>212200</v>
      </c>
      <c r="H69" s="128">
        <v>42950</v>
      </c>
      <c r="I69" s="124">
        <v>1</v>
      </c>
      <c r="J69" s="124">
        <v>1</v>
      </c>
      <c r="K69" s="311">
        <v>45716.92</v>
      </c>
      <c r="L69" s="125">
        <v>166483.07999999999</v>
      </c>
      <c r="M69" s="126">
        <f t="shared" si="0"/>
        <v>0</v>
      </c>
      <c r="N69" s="127"/>
    </row>
    <row r="70" spans="1:14" s="149" customFormat="1" ht="60">
      <c r="A70" s="127">
        <v>63</v>
      </c>
      <c r="B70" s="127" t="s">
        <v>306</v>
      </c>
      <c r="C70" s="122" t="s">
        <v>307</v>
      </c>
      <c r="D70" s="122" t="s">
        <v>303</v>
      </c>
      <c r="E70" s="123" t="s">
        <v>141</v>
      </c>
      <c r="F70" s="129">
        <v>162200</v>
      </c>
      <c r="G70" s="126">
        <v>153098.75</v>
      </c>
      <c r="H70" s="128">
        <v>42929</v>
      </c>
      <c r="I70" s="124">
        <v>1</v>
      </c>
      <c r="J70" s="124">
        <v>1</v>
      </c>
      <c r="K70" s="311">
        <v>7616.25</v>
      </c>
      <c r="L70" s="125">
        <v>145482.5</v>
      </c>
      <c r="M70" s="126">
        <f t="shared" si="0"/>
        <v>0</v>
      </c>
      <c r="N70" s="127"/>
    </row>
    <row r="71" spans="1:14" s="149" customFormat="1" ht="60">
      <c r="A71" s="127">
        <v>64</v>
      </c>
      <c r="B71" s="127" t="s">
        <v>308</v>
      </c>
      <c r="C71" s="122" t="s">
        <v>309</v>
      </c>
      <c r="D71" s="122" t="s">
        <v>310</v>
      </c>
      <c r="E71" s="123" t="s">
        <v>141</v>
      </c>
      <c r="F71" s="129">
        <v>101300</v>
      </c>
      <c r="G71" s="126">
        <v>101300</v>
      </c>
      <c r="H71" s="128">
        <v>43126</v>
      </c>
      <c r="I71" s="124">
        <v>1</v>
      </c>
      <c r="J71" s="124">
        <v>0.01</v>
      </c>
      <c r="K71" s="311">
        <v>101300</v>
      </c>
      <c r="L71" s="125">
        <v>0</v>
      </c>
      <c r="M71" s="126">
        <f t="shared" si="0"/>
        <v>0</v>
      </c>
      <c r="N71" s="127"/>
    </row>
    <row r="72" spans="1:14" s="149" customFormat="1" ht="60">
      <c r="A72" s="127">
        <v>65</v>
      </c>
      <c r="B72" s="127" t="s">
        <v>311</v>
      </c>
      <c r="C72" s="122" t="s">
        <v>312</v>
      </c>
      <c r="D72" s="122" t="s">
        <v>313</v>
      </c>
      <c r="E72" s="123" t="s">
        <v>141</v>
      </c>
      <c r="F72" s="129">
        <v>1432383</v>
      </c>
      <c r="G72" s="126">
        <v>3270700</v>
      </c>
      <c r="H72" s="128">
        <v>42845</v>
      </c>
      <c r="I72" s="124">
        <v>1</v>
      </c>
      <c r="J72" s="124">
        <v>1</v>
      </c>
      <c r="K72" s="311">
        <v>78823.149999999994</v>
      </c>
      <c r="L72" s="125">
        <v>3191876.85</v>
      </c>
      <c r="M72" s="126">
        <f t="shared" ref="M72:M135" si="1">G72-K72-L72</f>
        <v>0</v>
      </c>
      <c r="N72" s="127"/>
    </row>
    <row r="73" spans="1:14" s="149" customFormat="1" ht="60">
      <c r="A73" s="127">
        <v>66</v>
      </c>
      <c r="B73" s="312" t="s">
        <v>314</v>
      </c>
      <c r="C73" s="122" t="s">
        <v>218</v>
      </c>
      <c r="D73" s="122" t="s">
        <v>315</v>
      </c>
      <c r="E73" s="123" t="s">
        <v>141</v>
      </c>
      <c r="F73" s="129">
        <v>4200</v>
      </c>
      <c r="G73" s="126">
        <v>0</v>
      </c>
      <c r="H73" s="128" t="s">
        <v>142</v>
      </c>
      <c r="I73" s="124" t="s">
        <v>142</v>
      </c>
      <c r="J73" s="124" t="s">
        <v>142</v>
      </c>
      <c r="K73" s="311">
        <v>0</v>
      </c>
      <c r="L73" s="125">
        <v>0</v>
      </c>
      <c r="M73" s="126">
        <f t="shared" si="1"/>
        <v>0</v>
      </c>
      <c r="N73" s="127" t="s">
        <v>143</v>
      </c>
    </row>
    <row r="74" spans="1:14" s="149" customFormat="1" ht="60">
      <c r="A74" s="127">
        <v>67</v>
      </c>
      <c r="B74" s="312" t="s">
        <v>316</v>
      </c>
      <c r="C74" s="122" t="s">
        <v>186</v>
      </c>
      <c r="D74" s="122" t="s">
        <v>317</v>
      </c>
      <c r="E74" s="123" t="s">
        <v>141</v>
      </c>
      <c r="F74" s="129"/>
      <c r="G74" s="126">
        <v>745.11</v>
      </c>
      <c r="H74" s="128" t="s">
        <v>142</v>
      </c>
      <c r="I74" s="124" t="s">
        <v>142</v>
      </c>
      <c r="J74" s="124" t="s">
        <v>142</v>
      </c>
      <c r="K74" s="311">
        <v>75.5</v>
      </c>
      <c r="L74" s="125">
        <v>669.61</v>
      </c>
      <c r="M74" s="126">
        <f t="shared" si="1"/>
        <v>0</v>
      </c>
      <c r="N74" s="127"/>
    </row>
    <row r="75" spans="1:14" s="149" customFormat="1" ht="60">
      <c r="A75" s="127">
        <v>68</v>
      </c>
      <c r="B75" s="127" t="s">
        <v>318</v>
      </c>
      <c r="C75" s="122" t="s">
        <v>319</v>
      </c>
      <c r="D75" s="122" t="s">
        <v>320</v>
      </c>
      <c r="E75" s="123" t="s">
        <v>141</v>
      </c>
      <c r="F75" s="129">
        <v>443700</v>
      </c>
      <c r="G75" s="126">
        <v>421605</v>
      </c>
      <c r="H75" s="128">
        <v>43132</v>
      </c>
      <c r="I75" s="124">
        <v>0.86</v>
      </c>
      <c r="J75" s="124" t="s">
        <v>142</v>
      </c>
      <c r="K75" s="311">
        <v>195641.88</v>
      </c>
      <c r="L75" s="125">
        <v>225963.12</v>
      </c>
      <c r="M75" s="126">
        <f t="shared" si="1"/>
        <v>0</v>
      </c>
      <c r="N75" s="127"/>
    </row>
    <row r="76" spans="1:14" s="149" customFormat="1" ht="60">
      <c r="A76" s="127">
        <v>69</v>
      </c>
      <c r="B76" s="127" t="s">
        <v>321</v>
      </c>
      <c r="C76" s="122" t="s">
        <v>173</v>
      </c>
      <c r="D76" s="122" t="s">
        <v>322</v>
      </c>
      <c r="E76" s="123" t="s">
        <v>141</v>
      </c>
      <c r="F76" s="129">
        <v>858400</v>
      </c>
      <c r="G76" s="126">
        <v>573420</v>
      </c>
      <c r="H76" s="128">
        <v>43132</v>
      </c>
      <c r="I76" s="124">
        <v>0.81</v>
      </c>
      <c r="J76" s="124" t="s">
        <v>142</v>
      </c>
      <c r="K76" s="311">
        <v>412519.54</v>
      </c>
      <c r="L76" s="125">
        <v>160900.46</v>
      </c>
      <c r="M76" s="126">
        <f t="shared" si="1"/>
        <v>0</v>
      </c>
      <c r="N76" s="127"/>
    </row>
    <row r="77" spans="1:14" s="149" customFormat="1" ht="60">
      <c r="A77" s="127">
        <v>70</v>
      </c>
      <c r="B77" s="127" t="s">
        <v>323</v>
      </c>
      <c r="C77" s="122" t="s">
        <v>277</v>
      </c>
      <c r="D77" s="122" t="s">
        <v>324</v>
      </c>
      <c r="E77" s="123" t="s">
        <v>141</v>
      </c>
      <c r="F77" s="129">
        <v>261000</v>
      </c>
      <c r="G77" s="126">
        <v>49702.67</v>
      </c>
      <c r="H77" s="128">
        <v>42733</v>
      </c>
      <c r="I77" s="124">
        <v>1</v>
      </c>
      <c r="J77" s="124" t="s">
        <v>142</v>
      </c>
      <c r="K77" s="311">
        <v>0</v>
      </c>
      <c r="L77" s="125">
        <v>49702.67</v>
      </c>
      <c r="M77" s="126">
        <f t="shared" si="1"/>
        <v>0</v>
      </c>
      <c r="N77" s="127"/>
    </row>
    <row r="78" spans="1:14" s="149" customFormat="1" ht="60">
      <c r="A78" s="127">
        <v>71</v>
      </c>
      <c r="B78" s="127" t="s">
        <v>325</v>
      </c>
      <c r="C78" s="122" t="s">
        <v>277</v>
      </c>
      <c r="D78" s="122" t="s">
        <v>326</v>
      </c>
      <c r="E78" s="123" t="s">
        <v>141</v>
      </c>
      <c r="F78" s="129">
        <v>530700</v>
      </c>
      <c r="G78" s="126">
        <v>504165</v>
      </c>
      <c r="H78" s="128">
        <v>43661</v>
      </c>
      <c r="I78" s="124">
        <v>0</v>
      </c>
      <c r="J78" s="124" t="s">
        <v>142</v>
      </c>
      <c r="K78" s="311">
        <v>469356.38</v>
      </c>
      <c r="L78" s="125">
        <v>34808.620000000003</v>
      </c>
      <c r="M78" s="126">
        <f t="shared" si="1"/>
        <v>0</v>
      </c>
      <c r="N78" s="127"/>
    </row>
    <row r="79" spans="1:14" s="149" customFormat="1" ht="60">
      <c r="A79" s="127">
        <v>72</v>
      </c>
      <c r="B79" s="127" t="s">
        <v>327</v>
      </c>
      <c r="C79" s="122" t="s">
        <v>328</v>
      </c>
      <c r="D79" s="122" t="s">
        <v>329</v>
      </c>
      <c r="E79" s="123" t="s">
        <v>141</v>
      </c>
      <c r="F79" s="129">
        <v>164700</v>
      </c>
      <c r="G79" s="126">
        <v>3263.47</v>
      </c>
      <c r="H79" s="128">
        <v>42750</v>
      </c>
      <c r="I79" s="124" t="s">
        <v>142</v>
      </c>
      <c r="J79" s="124" t="s">
        <v>142</v>
      </c>
      <c r="K79" s="311">
        <v>0</v>
      </c>
      <c r="L79" s="125">
        <v>3263.47</v>
      </c>
      <c r="M79" s="126">
        <f t="shared" si="1"/>
        <v>0</v>
      </c>
      <c r="N79" s="127"/>
    </row>
    <row r="80" spans="1:14" s="149" customFormat="1" ht="60">
      <c r="A80" s="127">
        <v>73</v>
      </c>
      <c r="B80" s="127" t="s">
        <v>330</v>
      </c>
      <c r="C80" s="122" t="s">
        <v>277</v>
      </c>
      <c r="D80" s="122" t="s">
        <v>331</v>
      </c>
      <c r="E80" s="123" t="s">
        <v>141</v>
      </c>
      <c r="F80" s="129">
        <v>267800</v>
      </c>
      <c r="G80" s="126">
        <v>282700</v>
      </c>
      <c r="H80" s="128">
        <v>42870</v>
      </c>
      <c r="I80" s="124">
        <v>1</v>
      </c>
      <c r="J80" s="124" t="s">
        <v>142</v>
      </c>
      <c r="K80" s="311">
        <v>165244.38</v>
      </c>
      <c r="L80" s="125">
        <v>117455.62</v>
      </c>
      <c r="M80" s="126">
        <f t="shared" si="1"/>
        <v>0</v>
      </c>
      <c r="N80" s="127"/>
    </row>
    <row r="81" spans="1:14" s="149" customFormat="1" ht="60">
      <c r="A81" s="127">
        <v>74</v>
      </c>
      <c r="B81" s="127" t="s">
        <v>332</v>
      </c>
      <c r="C81" s="122" t="s">
        <v>333</v>
      </c>
      <c r="D81" s="122" t="s">
        <v>334</v>
      </c>
      <c r="E81" s="123" t="s">
        <v>141</v>
      </c>
      <c r="F81" s="129">
        <v>126900</v>
      </c>
      <c r="G81" s="126">
        <v>127881.63</v>
      </c>
      <c r="H81" s="128">
        <v>42997</v>
      </c>
      <c r="I81" s="124">
        <v>1</v>
      </c>
      <c r="J81" s="124">
        <v>1</v>
      </c>
      <c r="K81" s="311">
        <v>446.62</v>
      </c>
      <c r="L81" s="125">
        <v>127435.01000000001</v>
      </c>
      <c r="M81" s="126">
        <f t="shared" si="1"/>
        <v>0</v>
      </c>
      <c r="N81" s="127" t="s">
        <v>143</v>
      </c>
    </row>
    <row r="82" spans="1:14" s="149" customFormat="1" ht="60">
      <c r="A82" s="127">
        <v>75</v>
      </c>
      <c r="B82" s="127" t="s">
        <v>335</v>
      </c>
      <c r="C82" s="122" t="s">
        <v>186</v>
      </c>
      <c r="D82" s="122" t="s">
        <v>336</v>
      </c>
      <c r="E82" s="123" t="s">
        <v>141</v>
      </c>
      <c r="F82" s="129">
        <v>521900</v>
      </c>
      <c r="G82" s="126">
        <v>255963.44</v>
      </c>
      <c r="H82" s="128">
        <v>42726</v>
      </c>
      <c r="I82" s="124">
        <v>1</v>
      </c>
      <c r="J82" s="124" t="s">
        <v>142</v>
      </c>
      <c r="K82" s="311">
        <v>0</v>
      </c>
      <c r="L82" s="125">
        <v>255963.44</v>
      </c>
      <c r="M82" s="126">
        <f t="shared" si="1"/>
        <v>0</v>
      </c>
      <c r="N82" s="127"/>
    </row>
    <row r="83" spans="1:14" s="149" customFormat="1" ht="60">
      <c r="A83" s="127">
        <v>76</v>
      </c>
      <c r="B83" s="127" t="s">
        <v>337</v>
      </c>
      <c r="C83" s="122" t="s">
        <v>309</v>
      </c>
      <c r="D83" s="122" t="s">
        <v>338</v>
      </c>
      <c r="E83" s="123" t="s">
        <v>141</v>
      </c>
      <c r="F83" s="129">
        <v>164600</v>
      </c>
      <c r="G83" s="126">
        <v>126300</v>
      </c>
      <c r="H83" s="128">
        <v>42928</v>
      </c>
      <c r="I83" s="124">
        <v>1</v>
      </c>
      <c r="J83" s="124" t="s">
        <v>142</v>
      </c>
      <c r="K83" s="311">
        <v>56680.35</v>
      </c>
      <c r="L83" s="125">
        <v>69619.649999999994</v>
      </c>
      <c r="M83" s="126">
        <f t="shared" si="1"/>
        <v>0</v>
      </c>
      <c r="N83" s="127"/>
    </row>
    <row r="84" spans="1:14" s="149" customFormat="1" ht="60">
      <c r="A84" s="127">
        <v>77</v>
      </c>
      <c r="B84" s="127" t="s">
        <v>339</v>
      </c>
      <c r="C84" s="122" t="s">
        <v>340</v>
      </c>
      <c r="D84" s="122" t="s">
        <v>341</v>
      </c>
      <c r="E84" s="123" t="s">
        <v>141</v>
      </c>
      <c r="F84" s="129">
        <v>6300</v>
      </c>
      <c r="G84" s="126">
        <v>6300</v>
      </c>
      <c r="H84" s="128">
        <v>42894</v>
      </c>
      <c r="I84" s="124">
        <v>1</v>
      </c>
      <c r="J84" s="124" t="s">
        <v>142</v>
      </c>
      <c r="K84" s="311">
        <v>6300</v>
      </c>
      <c r="L84" s="125">
        <v>0</v>
      </c>
      <c r="M84" s="126">
        <f t="shared" si="1"/>
        <v>0</v>
      </c>
      <c r="N84" s="127"/>
    </row>
    <row r="85" spans="1:14" s="149" customFormat="1" ht="60">
      <c r="A85" s="127">
        <v>78</v>
      </c>
      <c r="B85" s="127" t="s">
        <v>342</v>
      </c>
      <c r="C85" s="122" t="s">
        <v>158</v>
      </c>
      <c r="D85" s="122" t="s">
        <v>343</v>
      </c>
      <c r="E85" s="123" t="s">
        <v>141</v>
      </c>
      <c r="F85" s="129">
        <v>378000</v>
      </c>
      <c r="G85" s="126">
        <v>256346.85</v>
      </c>
      <c r="H85" s="128">
        <v>42842</v>
      </c>
      <c r="I85" s="124">
        <v>1</v>
      </c>
      <c r="J85" s="124" t="s">
        <v>142</v>
      </c>
      <c r="K85" s="311">
        <v>0</v>
      </c>
      <c r="L85" s="125">
        <v>256346.85</v>
      </c>
      <c r="M85" s="126">
        <f t="shared" si="1"/>
        <v>0</v>
      </c>
      <c r="N85" s="127"/>
    </row>
    <row r="86" spans="1:14" s="149" customFormat="1" ht="60">
      <c r="A86" s="127">
        <v>79</v>
      </c>
      <c r="B86" s="312" t="s">
        <v>344</v>
      </c>
      <c r="C86" s="122" t="s">
        <v>345</v>
      </c>
      <c r="D86" s="122" t="s">
        <v>346</v>
      </c>
      <c r="E86" s="123" t="s">
        <v>141</v>
      </c>
      <c r="F86" s="129"/>
      <c r="G86" s="126">
        <v>65790.62</v>
      </c>
      <c r="H86" s="130">
        <v>42948</v>
      </c>
      <c r="I86" s="124" t="s">
        <v>142</v>
      </c>
      <c r="J86" s="124">
        <v>1</v>
      </c>
      <c r="K86" s="311">
        <v>0</v>
      </c>
      <c r="L86" s="125">
        <v>65790.62</v>
      </c>
      <c r="M86" s="126">
        <f t="shared" si="1"/>
        <v>0</v>
      </c>
      <c r="N86" s="127" t="s">
        <v>143</v>
      </c>
    </row>
    <row r="87" spans="1:14" s="149" customFormat="1" ht="60">
      <c r="A87" s="127">
        <v>80</v>
      </c>
      <c r="B87" s="127" t="s">
        <v>347</v>
      </c>
      <c r="C87" s="122" t="s">
        <v>253</v>
      </c>
      <c r="D87" s="122" t="s">
        <v>348</v>
      </c>
      <c r="E87" s="123" t="s">
        <v>141</v>
      </c>
      <c r="F87" s="129"/>
      <c r="G87" s="126">
        <v>6288605.6299999999</v>
      </c>
      <c r="H87" s="130">
        <v>43243</v>
      </c>
      <c r="I87" s="124">
        <v>1</v>
      </c>
      <c r="J87" s="124">
        <v>0.65</v>
      </c>
      <c r="K87" s="311">
        <v>2875170.6299999994</v>
      </c>
      <c r="L87" s="125">
        <v>3413434.9999999995</v>
      </c>
      <c r="M87" s="126">
        <f t="shared" si="1"/>
        <v>0</v>
      </c>
      <c r="N87" s="127"/>
    </row>
    <row r="88" spans="1:14" s="149" customFormat="1" ht="60">
      <c r="A88" s="127">
        <v>81</v>
      </c>
      <c r="B88" s="127" t="s">
        <v>349</v>
      </c>
      <c r="C88" s="122" t="s">
        <v>350</v>
      </c>
      <c r="D88" s="122" t="s">
        <v>351</v>
      </c>
      <c r="E88" s="123" t="s">
        <v>141</v>
      </c>
      <c r="F88" s="129"/>
      <c r="G88" s="126">
        <v>20493.25</v>
      </c>
      <c r="H88" s="130">
        <v>42748</v>
      </c>
      <c r="I88" s="124">
        <v>1</v>
      </c>
      <c r="J88" s="124">
        <v>1</v>
      </c>
      <c r="K88" s="311">
        <v>0</v>
      </c>
      <c r="L88" s="125">
        <v>20493.25</v>
      </c>
      <c r="M88" s="126">
        <f t="shared" si="1"/>
        <v>0</v>
      </c>
      <c r="N88" s="127"/>
    </row>
    <row r="89" spans="1:14" s="149" customFormat="1" ht="60">
      <c r="A89" s="127">
        <v>82</v>
      </c>
      <c r="B89" s="127" t="s">
        <v>352</v>
      </c>
      <c r="C89" s="122" t="s">
        <v>353</v>
      </c>
      <c r="D89" s="122" t="s">
        <v>354</v>
      </c>
      <c r="E89" s="123" t="s">
        <v>141</v>
      </c>
      <c r="F89" s="129"/>
      <c r="G89" s="126">
        <v>33629.139999999992</v>
      </c>
      <c r="H89" s="130">
        <v>42968</v>
      </c>
      <c r="I89" s="124">
        <v>1</v>
      </c>
      <c r="J89" s="124">
        <v>1</v>
      </c>
      <c r="K89" s="311">
        <v>0</v>
      </c>
      <c r="L89" s="125">
        <v>33629.14</v>
      </c>
      <c r="M89" s="126">
        <f t="shared" si="1"/>
        <v>0</v>
      </c>
      <c r="N89" s="127" t="s">
        <v>143</v>
      </c>
    </row>
    <row r="90" spans="1:14" s="149" customFormat="1" ht="60">
      <c r="A90" s="127">
        <v>83</v>
      </c>
      <c r="B90" s="312" t="s">
        <v>355</v>
      </c>
      <c r="C90" s="122" t="s">
        <v>261</v>
      </c>
      <c r="D90" s="122" t="s">
        <v>356</v>
      </c>
      <c r="E90" s="123" t="s">
        <v>141</v>
      </c>
      <c r="F90" s="129"/>
      <c r="G90" s="126">
        <v>127134.47</v>
      </c>
      <c r="H90" s="130">
        <v>42760</v>
      </c>
      <c r="I90" s="124">
        <v>1</v>
      </c>
      <c r="J90" s="124">
        <v>1</v>
      </c>
      <c r="K90" s="311">
        <v>0</v>
      </c>
      <c r="L90" s="125">
        <v>127134.47</v>
      </c>
      <c r="M90" s="126">
        <f t="shared" si="1"/>
        <v>0</v>
      </c>
      <c r="N90" s="127"/>
    </row>
    <row r="91" spans="1:14" s="149" customFormat="1" ht="60">
      <c r="A91" s="127">
        <v>84</v>
      </c>
      <c r="B91" s="127" t="s">
        <v>357</v>
      </c>
      <c r="C91" s="122" t="s">
        <v>173</v>
      </c>
      <c r="D91" s="122" t="s">
        <v>358</v>
      </c>
      <c r="E91" s="123" t="s">
        <v>141</v>
      </c>
      <c r="F91" s="129">
        <v>4693942</v>
      </c>
      <c r="G91" s="126">
        <v>143170.16</v>
      </c>
      <c r="H91" s="128">
        <v>43157</v>
      </c>
      <c r="I91" s="124">
        <v>0.81</v>
      </c>
      <c r="J91" s="124" t="s">
        <v>142</v>
      </c>
      <c r="K91" s="311">
        <v>126947.38</v>
      </c>
      <c r="L91" s="125">
        <v>16222.78</v>
      </c>
      <c r="M91" s="126">
        <f t="shared" si="1"/>
        <v>0</v>
      </c>
      <c r="N91" s="127" t="s">
        <v>143</v>
      </c>
    </row>
    <row r="92" spans="1:14" s="149" customFormat="1" ht="60">
      <c r="A92" s="127">
        <v>85</v>
      </c>
      <c r="B92" s="127" t="s">
        <v>359</v>
      </c>
      <c r="C92" s="122" t="s">
        <v>360</v>
      </c>
      <c r="D92" s="122" t="s">
        <v>361</v>
      </c>
      <c r="E92" s="123" t="s">
        <v>141</v>
      </c>
      <c r="F92" s="129">
        <v>4947317</v>
      </c>
      <c r="G92" s="126">
        <v>71188.479999999996</v>
      </c>
      <c r="H92" s="128">
        <v>43157</v>
      </c>
      <c r="I92" s="124">
        <v>0.81</v>
      </c>
      <c r="J92" s="124" t="s">
        <v>142</v>
      </c>
      <c r="K92" s="311">
        <v>6919.88</v>
      </c>
      <c r="L92" s="125">
        <v>64268.599999999991</v>
      </c>
      <c r="M92" s="126">
        <f t="shared" si="1"/>
        <v>0</v>
      </c>
      <c r="N92" s="127" t="s">
        <v>143</v>
      </c>
    </row>
    <row r="93" spans="1:14" s="149" customFormat="1" ht="60">
      <c r="A93" s="127">
        <v>86</v>
      </c>
      <c r="B93" s="312" t="s">
        <v>362</v>
      </c>
      <c r="C93" s="122" t="s">
        <v>363</v>
      </c>
      <c r="D93" s="122" t="s">
        <v>364</v>
      </c>
      <c r="E93" s="123" t="s">
        <v>141</v>
      </c>
      <c r="F93" s="129"/>
      <c r="G93" s="126">
        <v>312000</v>
      </c>
      <c r="H93" s="128">
        <v>43189</v>
      </c>
      <c r="I93" s="124">
        <v>1</v>
      </c>
      <c r="J93" s="124">
        <v>0.04</v>
      </c>
      <c r="K93" s="311">
        <v>312000</v>
      </c>
      <c r="L93" s="125">
        <v>0</v>
      </c>
      <c r="M93" s="126">
        <f t="shared" si="1"/>
        <v>0</v>
      </c>
      <c r="N93" s="127"/>
    </row>
    <row r="94" spans="1:14" s="149" customFormat="1" ht="60">
      <c r="A94" s="127">
        <v>87</v>
      </c>
      <c r="B94" s="312" t="s">
        <v>365</v>
      </c>
      <c r="C94" s="122" t="s">
        <v>350</v>
      </c>
      <c r="D94" s="122" t="s">
        <v>346</v>
      </c>
      <c r="E94" s="123" t="s">
        <v>141</v>
      </c>
      <c r="F94" s="129"/>
      <c r="G94" s="126">
        <v>143440.92000000001</v>
      </c>
      <c r="H94" s="128">
        <v>42828</v>
      </c>
      <c r="I94" s="124" t="s">
        <v>142</v>
      </c>
      <c r="J94" s="124">
        <v>1</v>
      </c>
      <c r="K94" s="311">
        <v>0</v>
      </c>
      <c r="L94" s="125">
        <v>143440.92000000001</v>
      </c>
      <c r="M94" s="126">
        <f t="shared" si="1"/>
        <v>0</v>
      </c>
      <c r="N94" s="127"/>
    </row>
    <row r="95" spans="1:14" s="149" customFormat="1" ht="60">
      <c r="A95" s="127">
        <v>88</v>
      </c>
      <c r="B95" s="312" t="s">
        <v>366</v>
      </c>
      <c r="C95" s="122" t="s">
        <v>198</v>
      </c>
      <c r="D95" s="122" t="s">
        <v>367</v>
      </c>
      <c r="E95" s="123" t="s">
        <v>141</v>
      </c>
      <c r="F95" s="129"/>
      <c r="G95" s="126">
        <v>57871.1</v>
      </c>
      <c r="H95" s="128">
        <v>42996</v>
      </c>
      <c r="I95" s="124">
        <v>1</v>
      </c>
      <c r="J95" s="124">
        <v>1</v>
      </c>
      <c r="K95" s="311">
        <v>0</v>
      </c>
      <c r="L95" s="125">
        <v>57871.1</v>
      </c>
      <c r="M95" s="126">
        <f t="shared" si="1"/>
        <v>0</v>
      </c>
      <c r="N95" s="127" t="s">
        <v>143</v>
      </c>
    </row>
    <row r="96" spans="1:14" s="149" customFormat="1" ht="60">
      <c r="A96" s="127">
        <v>89</v>
      </c>
      <c r="B96" s="312" t="s">
        <v>368</v>
      </c>
      <c r="C96" s="122" t="s">
        <v>369</v>
      </c>
      <c r="D96" s="122" t="s">
        <v>370</v>
      </c>
      <c r="E96" s="123" t="s">
        <v>141</v>
      </c>
      <c r="F96" s="129"/>
      <c r="G96" s="126">
        <v>66975</v>
      </c>
      <c r="H96" s="128">
        <v>43210</v>
      </c>
      <c r="I96" s="124" t="s">
        <v>142</v>
      </c>
      <c r="J96" s="124">
        <v>0.03</v>
      </c>
      <c r="K96" s="311">
        <v>66975</v>
      </c>
      <c r="L96" s="125">
        <v>0</v>
      </c>
      <c r="M96" s="126">
        <f t="shared" si="1"/>
        <v>0</v>
      </c>
      <c r="N96" s="127" t="s">
        <v>143</v>
      </c>
    </row>
    <row r="97" spans="1:14" s="149" customFormat="1" ht="60">
      <c r="A97" s="127">
        <v>90</v>
      </c>
      <c r="B97" s="312" t="s">
        <v>371</v>
      </c>
      <c r="C97" s="122" t="s">
        <v>372</v>
      </c>
      <c r="D97" s="122" t="s">
        <v>373</v>
      </c>
      <c r="E97" s="123" t="s">
        <v>141</v>
      </c>
      <c r="F97" s="129"/>
      <c r="G97" s="126">
        <v>62035</v>
      </c>
      <c r="H97" s="128">
        <v>43182</v>
      </c>
      <c r="I97" s="124">
        <v>1</v>
      </c>
      <c r="J97" s="124">
        <v>0.97</v>
      </c>
      <c r="K97" s="311">
        <v>62035</v>
      </c>
      <c r="L97" s="125">
        <v>0</v>
      </c>
      <c r="M97" s="126">
        <f t="shared" si="1"/>
        <v>0</v>
      </c>
      <c r="N97" s="127" t="s">
        <v>143</v>
      </c>
    </row>
    <row r="98" spans="1:14" s="149" customFormat="1" ht="60">
      <c r="A98" s="127">
        <v>91</v>
      </c>
      <c r="B98" s="312" t="s">
        <v>374</v>
      </c>
      <c r="C98" s="122" t="s">
        <v>333</v>
      </c>
      <c r="D98" s="122" t="s">
        <v>375</v>
      </c>
      <c r="E98" s="123" t="s">
        <v>141</v>
      </c>
      <c r="F98" s="129"/>
      <c r="G98" s="126">
        <v>1074811</v>
      </c>
      <c r="H98" s="128">
        <v>43282</v>
      </c>
      <c r="I98" s="124">
        <v>1</v>
      </c>
      <c r="J98" s="124">
        <v>0.27</v>
      </c>
      <c r="K98" s="311">
        <v>874724.59000000008</v>
      </c>
      <c r="L98" s="125">
        <v>200086.40999999997</v>
      </c>
      <c r="M98" s="126">
        <f t="shared" si="1"/>
        <v>0</v>
      </c>
      <c r="N98" s="127"/>
    </row>
    <row r="99" spans="1:14" s="149" customFormat="1" ht="60">
      <c r="A99" s="127">
        <v>92</v>
      </c>
      <c r="B99" s="312" t="s">
        <v>376</v>
      </c>
      <c r="C99" s="122" t="s">
        <v>377</v>
      </c>
      <c r="D99" s="122" t="s">
        <v>378</v>
      </c>
      <c r="E99" s="123" t="s">
        <v>141</v>
      </c>
      <c r="F99" s="129"/>
      <c r="G99" s="126">
        <v>1001274.71</v>
      </c>
      <c r="H99" s="128">
        <v>43497</v>
      </c>
      <c r="I99" s="124">
        <v>1</v>
      </c>
      <c r="J99" s="124">
        <v>0.01</v>
      </c>
      <c r="K99" s="311">
        <v>996473.77</v>
      </c>
      <c r="L99" s="125">
        <v>4800.9399999999996</v>
      </c>
      <c r="M99" s="126">
        <f>G99-K99-L99</f>
        <v>-5.5479176808148623E-11</v>
      </c>
      <c r="N99" s="127" t="s">
        <v>143</v>
      </c>
    </row>
    <row r="100" spans="1:14" s="149" customFormat="1" ht="60">
      <c r="A100" s="127">
        <v>92</v>
      </c>
      <c r="B100" s="312" t="s">
        <v>376</v>
      </c>
      <c r="C100" s="122" t="s">
        <v>377</v>
      </c>
      <c r="D100" s="122" t="s">
        <v>378</v>
      </c>
      <c r="E100" s="123" t="s">
        <v>257</v>
      </c>
      <c r="F100" s="129"/>
      <c r="G100" s="126">
        <v>290090</v>
      </c>
      <c r="H100" s="128">
        <v>43497</v>
      </c>
      <c r="I100" s="124">
        <v>1</v>
      </c>
      <c r="J100" s="124">
        <v>0.01</v>
      </c>
      <c r="K100" s="311">
        <v>290090</v>
      </c>
      <c r="L100" s="125">
        <v>0</v>
      </c>
      <c r="M100" s="126">
        <f t="shared" si="1"/>
        <v>0</v>
      </c>
      <c r="N100" s="127" t="s">
        <v>143</v>
      </c>
    </row>
    <row r="101" spans="1:14" s="149" customFormat="1" ht="60">
      <c r="A101" s="127">
        <v>93</v>
      </c>
      <c r="B101" s="312" t="s">
        <v>379</v>
      </c>
      <c r="C101" s="122" t="s">
        <v>277</v>
      </c>
      <c r="D101" s="122" t="s">
        <v>380</v>
      </c>
      <c r="E101" s="123" t="s">
        <v>141</v>
      </c>
      <c r="F101" s="129"/>
      <c r="G101" s="126">
        <v>1069828.1399999999</v>
      </c>
      <c r="H101" s="128">
        <v>43644</v>
      </c>
      <c r="I101" s="124">
        <v>1</v>
      </c>
      <c r="J101" s="124">
        <v>0.01</v>
      </c>
      <c r="K101" s="311">
        <v>1056363.97</v>
      </c>
      <c r="L101" s="125">
        <v>13464.17</v>
      </c>
      <c r="M101" s="126">
        <f t="shared" si="1"/>
        <v>-7.4578565545380116E-11</v>
      </c>
      <c r="N101" s="127"/>
    </row>
    <row r="102" spans="1:14" s="149" customFormat="1" ht="60">
      <c r="A102" s="127">
        <v>93</v>
      </c>
      <c r="B102" s="312" t="s">
        <v>379</v>
      </c>
      <c r="C102" s="122" t="s">
        <v>277</v>
      </c>
      <c r="D102" s="122" t="s">
        <v>380</v>
      </c>
      <c r="E102" s="123" t="s">
        <v>257</v>
      </c>
      <c r="F102" s="129"/>
      <c r="G102" s="126">
        <v>1885231</v>
      </c>
      <c r="H102" s="128">
        <v>43644</v>
      </c>
      <c r="I102" s="124">
        <v>1</v>
      </c>
      <c r="J102" s="124">
        <v>0.01</v>
      </c>
      <c r="K102" s="311">
        <v>1885231</v>
      </c>
      <c r="L102" s="125">
        <v>0</v>
      </c>
      <c r="M102" s="126">
        <f t="shared" si="1"/>
        <v>0</v>
      </c>
      <c r="N102" s="127"/>
    </row>
    <row r="103" spans="1:14" s="149" customFormat="1" ht="60">
      <c r="A103" s="127">
        <v>94</v>
      </c>
      <c r="B103" s="312" t="s">
        <v>381</v>
      </c>
      <c r="C103" s="122" t="s">
        <v>382</v>
      </c>
      <c r="D103" s="122" t="s">
        <v>383</v>
      </c>
      <c r="E103" s="123" t="s">
        <v>141</v>
      </c>
      <c r="F103" s="129"/>
      <c r="G103" s="126">
        <v>239400</v>
      </c>
      <c r="H103" s="128">
        <v>43182</v>
      </c>
      <c r="I103" s="124">
        <v>1</v>
      </c>
      <c r="J103" s="124">
        <v>0.02</v>
      </c>
      <c r="K103" s="311">
        <v>239400</v>
      </c>
      <c r="L103" s="125">
        <v>0</v>
      </c>
      <c r="M103" s="126">
        <f t="shared" si="1"/>
        <v>0</v>
      </c>
      <c r="N103" s="127" t="s">
        <v>143</v>
      </c>
    </row>
    <row r="104" spans="1:14" s="149" customFormat="1" ht="60">
      <c r="A104" s="127">
        <v>95</v>
      </c>
      <c r="B104" s="312" t="s">
        <v>384</v>
      </c>
      <c r="C104" s="122" t="s">
        <v>363</v>
      </c>
      <c r="D104" s="122" t="s">
        <v>385</v>
      </c>
      <c r="E104" s="123" t="s">
        <v>141</v>
      </c>
      <c r="F104" s="129"/>
      <c r="G104" s="126">
        <v>168900</v>
      </c>
      <c r="H104" s="128">
        <v>43168</v>
      </c>
      <c r="I104" s="124">
        <v>1</v>
      </c>
      <c r="J104" s="124">
        <v>0.01</v>
      </c>
      <c r="K104" s="311">
        <v>168900</v>
      </c>
      <c r="L104" s="125">
        <v>0</v>
      </c>
      <c r="M104" s="126">
        <f t="shared" si="1"/>
        <v>0</v>
      </c>
      <c r="N104" s="127"/>
    </row>
    <row r="105" spans="1:14" s="149" customFormat="1" ht="60">
      <c r="A105" s="127">
        <v>96</v>
      </c>
      <c r="B105" s="312" t="s">
        <v>386</v>
      </c>
      <c r="C105" s="122" t="s">
        <v>244</v>
      </c>
      <c r="D105" s="122" t="s">
        <v>387</v>
      </c>
      <c r="E105" s="123" t="s">
        <v>141</v>
      </c>
      <c r="F105" s="129"/>
      <c r="G105" s="126">
        <v>50868.06</v>
      </c>
      <c r="H105" s="128">
        <v>42666</v>
      </c>
      <c r="I105" s="124">
        <v>1</v>
      </c>
      <c r="J105" s="124">
        <v>1</v>
      </c>
      <c r="K105" s="311">
        <v>0</v>
      </c>
      <c r="L105" s="125">
        <v>50868.06</v>
      </c>
      <c r="M105" s="126">
        <f t="shared" si="1"/>
        <v>0</v>
      </c>
      <c r="N105" s="127"/>
    </row>
    <row r="106" spans="1:14" s="149" customFormat="1" ht="60">
      <c r="A106" s="127">
        <v>97</v>
      </c>
      <c r="B106" s="312" t="s">
        <v>388</v>
      </c>
      <c r="C106" s="122" t="s">
        <v>269</v>
      </c>
      <c r="D106" s="122" t="s">
        <v>387</v>
      </c>
      <c r="E106" s="123" t="s">
        <v>141</v>
      </c>
      <c r="F106" s="129"/>
      <c r="G106" s="126">
        <v>44162.76</v>
      </c>
      <c r="H106" s="128">
        <v>42656</v>
      </c>
      <c r="I106" s="124">
        <v>1</v>
      </c>
      <c r="J106" s="124">
        <v>1</v>
      </c>
      <c r="K106" s="311">
        <v>0</v>
      </c>
      <c r="L106" s="125">
        <v>44162.76</v>
      </c>
      <c r="M106" s="126">
        <f t="shared" si="1"/>
        <v>0</v>
      </c>
      <c r="N106" s="127"/>
    </row>
    <row r="107" spans="1:14" s="149" customFormat="1" ht="60">
      <c r="A107" s="127">
        <v>98</v>
      </c>
      <c r="B107" s="312" t="s">
        <v>389</v>
      </c>
      <c r="C107" s="122" t="s">
        <v>158</v>
      </c>
      <c r="D107" s="122" t="s">
        <v>390</v>
      </c>
      <c r="E107" s="123" t="s">
        <v>141</v>
      </c>
      <c r="F107" s="129"/>
      <c r="G107" s="126">
        <v>221482.4</v>
      </c>
      <c r="H107" s="128">
        <v>42871</v>
      </c>
      <c r="I107" s="124">
        <v>1</v>
      </c>
      <c r="J107" s="124">
        <v>1</v>
      </c>
      <c r="K107" s="311">
        <v>0</v>
      </c>
      <c r="L107" s="125">
        <v>221482.4</v>
      </c>
      <c r="M107" s="126">
        <f t="shared" si="1"/>
        <v>0</v>
      </c>
      <c r="N107" s="127"/>
    </row>
    <row r="108" spans="1:14" s="149" customFormat="1" ht="60">
      <c r="A108" s="127">
        <v>99</v>
      </c>
      <c r="B108" s="312" t="s">
        <v>391</v>
      </c>
      <c r="C108" s="122" t="s">
        <v>392</v>
      </c>
      <c r="D108" s="122" t="s">
        <v>393</v>
      </c>
      <c r="E108" s="123" t="s">
        <v>141</v>
      </c>
      <c r="F108" s="129"/>
      <c r="G108" s="126">
        <v>91755.95</v>
      </c>
      <c r="H108" s="128">
        <v>43315</v>
      </c>
      <c r="I108" s="124">
        <v>1</v>
      </c>
      <c r="J108" s="124">
        <v>0.25</v>
      </c>
      <c r="K108" s="311">
        <v>34673.15</v>
      </c>
      <c r="L108" s="125">
        <v>57082.8</v>
      </c>
      <c r="M108" s="126">
        <f t="shared" si="1"/>
        <v>0</v>
      </c>
      <c r="N108" s="127"/>
    </row>
    <row r="109" spans="1:14" s="149" customFormat="1" ht="60">
      <c r="A109" s="127">
        <v>100</v>
      </c>
      <c r="B109" s="312" t="s">
        <v>394</v>
      </c>
      <c r="C109" s="122" t="s">
        <v>395</v>
      </c>
      <c r="D109" s="122" t="s">
        <v>356</v>
      </c>
      <c r="E109" s="123" t="s">
        <v>141</v>
      </c>
      <c r="F109" s="129"/>
      <c r="G109" s="126">
        <v>179275</v>
      </c>
      <c r="H109" s="128">
        <v>42826</v>
      </c>
      <c r="I109" s="124">
        <v>1</v>
      </c>
      <c r="J109" s="124">
        <v>1</v>
      </c>
      <c r="K109" s="311">
        <v>0</v>
      </c>
      <c r="L109" s="125">
        <v>179275</v>
      </c>
      <c r="M109" s="126">
        <f t="shared" si="1"/>
        <v>0</v>
      </c>
      <c r="N109" s="127"/>
    </row>
    <row r="110" spans="1:14" s="149" customFormat="1" ht="60">
      <c r="A110" s="127">
        <v>101</v>
      </c>
      <c r="B110" s="312" t="s">
        <v>396</v>
      </c>
      <c r="C110" s="122" t="s">
        <v>397</v>
      </c>
      <c r="D110" s="122" t="s">
        <v>398</v>
      </c>
      <c r="E110" s="123" t="s">
        <v>141</v>
      </c>
      <c r="F110" s="129"/>
      <c r="G110" s="126">
        <v>179228.49</v>
      </c>
      <c r="H110" s="128">
        <v>42781</v>
      </c>
      <c r="I110" s="124">
        <v>1</v>
      </c>
      <c r="J110" s="124">
        <v>1</v>
      </c>
      <c r="K110" s="311">
        <v>0</v>
      </c>
      <c r="L110" s="125">
        <v>179228.49</v>
      </c>
      <c r="M110" s="126">
        <f t="shared" si="1"/>
        <v>0</v>
      </c>
      <c r="N110" s="127"/>
    </row>
    <row r="111" spans="1:14" s="149" customFormat="1" ht="60">
      <c r="A111" s="127">
        <v>102</v>
      </c>
      <c r="B111" s="312" t="s">
        <v>399</v>
      </c>
      <c r="C111" s="122" t="s">
        <v>400</v>
      </c>
      <c r="D111" s="122" t="s">
        <v>401</v>
      </c>
      <c r="E111" s="123" t="s">
        <v>141</v>
      </c>
      <c r="F111" s="129"/>
      <c r="G111" s="126">
        <v>49495</v>
      </c>
      <c r="H111" s="128">
        <v>43126</v>
      </c>
      <c r="I111" s="124" t="s">
        <v>142</v>
      </c>
      <c r="J111" s="124">
        <v>0.01</v>
      </c>
      <c r="K111" s="311">
        <v>49495</v>
      </c>
      <c r="L111" s="125">
        <v>0</v>
      </c>
      <c r="M111" s="126">
        <f t="shared" si="1"/>
        <v>0</v>
      </c>
      <c r="N111" s="127"/>
    </row>
    <row r="112" spans="1:14" s="149" customFormat="1" ht="60">
      <c r="A112" s="127">
        <v>103</v>
      </c>
      <c r="B112" s="312" t="s">
        <v>402</v>
      </c>
      <c r="C112" s="122" t="s">
        <v>377</v>
      </c>
      <c r="D112" s="122" t="s">
        <v>403</v>
      </c>
      <c r="E112" s="123" t="s">
        <v>141</v>
      </c>
      <c r="F112" s="129"/>
      <c r="G112" s="126">
        <v>101935</v>
      </c>
      <c r="H112" s="128">
        <v>43161</v>
      </c>
      <c r="I112" s="124">
        <v>1</v>
      </c>
      <c r="J112" s="124">
        <v>0.95</v>
      </c>
      <c r="K112" s="311">
        <v>101935</v>
      </c>
      <c r="L112" s="125">
        <v>0</v>
      </c>
      <c r="M112" s="126">
        <f t="shared" si="1"/>
        <v>0</v>
      </c>
      <c r="N112" s="127" t="s">
        <v>143</v>
      </c>
    </row>
    <row r="113" spans="1:14" s="149" customFormat="1" ht="60">
      <c r="A113" s="127">
        <v>104</v>
      </c>
      <c r="B113" s="312" t="s">
        <v>404</v>
      </c>
      <c r="C113" s="122" t="s">
        <v>173</v>
      </c>
      <c r="D113" s="122" t="s">
        <v>405</v>
      </c>
      <c r="E113" s="123" t="s">
        <v>141</v>
      </c>
      <c r="F113" s="129"/>
      <c r="G113" s="126">
        <v>43907.13</v>
      </c>
      <c r="H113" s="128">
        <v>42859</v>
      </c>
      <c r="I113" s="124">
        <v>1</v>
      </c>
      <c r="J113" s="124">
        <v>1</v>
      </c>
      <c r="K113" s="311">
        <v>0</v>
      </c>
      <c r="L113" s="125">
        <v>43907.13</v>
      </c>
      <c r="M113" s="126">
        <f t="shared" si="1"/>
        <v>0</v>
      </c>
      <c r="N113" s="127"/>
    </row>
    <row r="114" spans="1:14" s="149" customFormat="1" ht="60">
      <c r="A114" s="127">
        <v>105</v>
      </c>
      <c r="B114" s="312" t="s">
        <v>406</v>
      </c>
      <c r="C114" s="122" t="s">
        <v>277</v>
      </c>
      <c r="D114" s="122" t="s">
        <v>407</v>
      </c>
      <c r="E114" s="123" t="s">
        <v>141</v>
      </c>
      <c r="F114" s="129"/>
      <c r="G114" s="126">
        <v>51952.32</v>
      </c>
      <c r="H114" s="128">
        <v>43017</v>
      </c>
      <c r="I114" s="124">
        <v>1</v>
      </c>
      <c r="J114" s="124">
        <v>1</v>
      </c>
      <c r="K114" s="311">
        <v>2840.64</v>
      </c>
      <c r="L114" s="125">
        <v>49111.68</v>
      </c>
      <c r="M114" s="126">
        <f t="shared" si="1"/>
        <v>0</v>
      </c>
      <c r="N114" s="127" t="s">
        <v>143</v>
      </c>
    </row>
    <row r="115" spans="1:14" s="149" customFormat="1" ht="60">
      <c r="A115" s="127">
        <v>106</v>
      </c>
      <c r="B115" s="312" t="s">
        <v>408</v>
      </c>
      <c r="C115" s="122" t="s">
        <v>409</v>
      </c>
      <c r="D115" s="122" t="s">
        <v>410</v>
      </c>
      <c r="E115" s="123" t="s">
        <v>141</v>
      </c>
      <c r="F115" s="129"/>
      <c r="G115" s="126">
        <v>307230</v>
      </c>
      <c r="H115" s="128">
        <v>43154</v>
      </c>
      <c r="I115" s="124">
        <v>1</v>
      </c>
      <c r="J115" s="124">
        <v>0.48</v>
      </c>
      <c r="K115" s="311">
        <v>307230</v>
      </c>
      <c r="L115" s="125">
        <v>0</v>
      </c>
      <c r="M115" s="126">
        <f t="shared" si="1"/>
        <v>0</v>
      </c>
      <c r="N115" s="127" t="s">
        <v>143</v>
      </c>
    </row>
    <row r="116" spans="1:14" s="149" customFormat="1" ht="60">
      <c r="A116" s="127">
        <v>107</v>
      </c>
      <c r="B116" s="312" t="s">
        <v>411</v>
      </c>
      <c r="C116" s="122" t="s">
        <v>363</v>
      </c>
      <c r="D116" s="122" t="s">
        <v>412</v>
      </c>
      <c r="E116" s="123" t="s">
        <v>141</v>
      </c>
      <c r="F116" s="129"/>
      <c r="G116" s="126">
        <v>28704.61</v>
      </c>
      <c r="H116" s="128">
        <v>42874</v>
      </c>
      <c r="I116" s="124">
        <v>1</v>
      </c>
      <c r="J116" s="124">
        <v>1</v>
      </c>
      <c r="K116" s="311">
        <v>0</v>
      </c>
      <c r="L116" s="125">
        <v>28704.61</v>
      </c>
      <c r="M116" s="126">
        <f t="shared" si="1"/>
        <v>0</v>
      </c>
      <c r="N116" s="127"/>
    </row>
    <row r="117" spans="1:14" s="149" customFormat="1" ht="60">
      <c r="A117" s="127">
        <v>108</v>
      </c>
      <c r="B117" s="312" t="s">
        <v>413</v>
      </c>
      <c r="C117" s="122" t="s">
        <v>395</v>
      </c>
      <c r="D117" s="122" t="s">
        <v>346</v>
      </c>
      <c r="E117" s="123" t="s">
        <v>141</v>
      </c>
      <c r="F117" s="129"/>
      <c r="G117" s="126">
        <v>65798.27</v>
      </c>
      <c r="H117" s="128">
        <v>42817</v>
      </c>
      <c r="I117" s="124" t="s">
        <v>142</v>
      </c>
      <c r="J117" s="124">
        <v>1</v>
      </c>
      <c r="K117" s="311">
        <v>0</v>
      </c>
      <c r="L117" s="125">
        <v>65798.27</v>
      </c>
      <c r="M117" s="126">
        <f t="shared" si="1"/>
        <v>0</v>
      </c>
      <c r="N117" s="127"/>
    </row>
    <row r="118" spans="1:14" s="149" customFormat="1" ht="60">
      <c r="A118" s="127">
        <v>109</v>
      </c>
      <c r="B118" s="312" t="s">
        <v>414</v>
      </c>
      <c r="C118" s="122" t="s">
        <v>382</v>
      </c>
      <c r="D118" s="122" t="s">
        <v>346</v>
      </c>
      <c r="E118" s="123" t="s">
        <v>141</v>
      </c>
      <c r="F118" s="129"/>
      <c r="G118" s="126">
        <v>162971.01999999999</v>
      </c>
      <c r="H118" s="128">
        <v>42977</v>
      </c>
      <c r="I118" s="124" t="s">
        <v>142</v>
      </c>
      <c r="J118" s="124">
        <v>1</v>
      </c>
      <c r="K118" s="311">
        <v>114.84</v>
      </c>
      <c r="L118" s="125">
        <v>162856.18</v>
      </c>
      <c r="M118" s="126">
        <f t="shared" si="1"/>
        <v>0</v>
      </c>
      <c r="N118" s="127"/>
    </row>
    <row r="119" spans="1:14" s="149" customFormat="1" ht="60">
      <c r="A119" s="127">
        <v>110</v>
      </c>
      <c r="B119" s="312" t="s">
        <v>415</v>
      </c>
      <c r="C119" s="122" t="s">
        <v>416</v>
      </c>
      <c r="D119" s="122" t="s">
        <v>417</v>
      </c>
      <c r="E119" s="123" t="s">
        <v>141</v>
      </c>
      <c r="F119" s="129"/>
      <c r="G119" s="126">
        <v>151200</v>
      </c>
      <c r="H119" s="128">
        <v>42822</v>
      </c>
      <c r="I119" s="124" t="s">
        <v>142</v>
      </c>
      <c r="J119" s="124">
        <v>1</v>
      </c>
      <c r="K119" s="311">
        <v>0</v>
      </c>
      <c r="L119" s="125">
        <v>151200</v>
      </c>
      <c r="M119" s="126">
        <f t="shared" si="1"/>
        <v>0</v>
      </c>
      <c r="N119" s="127"/>
    </row>
    <row r="120" spans="1:14" s="149" customFormat="1" ht="60">
      <c r="A120" s="127">
        <v>111</v>
      </c>
      <c r="B120" s="312" t="s">
        <v>418</v>
      </c>
      <c r="C120" s="122" t="s">
        <v>416</v>
      </c>
      <c r="D120" s="122" t="s">
        <v>419</v>
      </c>
      <c r="E120" s="123" t="s">
        <v>141</v>
      </c>
      <c r="F120" s="129"/>
      <c r="G120" s="126">
        <v>59331.519999999997</v>
      </c>
      <c r="H120" s="128">
        <v>42946</v>
      </c>
      <c r="I120" s="124" t="s">
        <v>142</v>
      </c>
      <c r="J120" s="124">
        <v>1</v>
      </c>
      <c r="K120" s="311">
        <v>0</v>
      </c>
      <c r="L120" s="125">
        <v>59331.519999999997</v>
      </c>
      <c r="M120" s="126">
        <f t="shared" si="1"/>
        <v>0</v>
      </c>
      <c r="N120" s="127"/>
    </row>
    <row r="121" spans="1:14" s="149" customFormat="1" ht="60">
      <c r="A121" s="127">
        <v>112</v>
      </c>
      <c r="B121" s="312" t="s">
        <v>420</v>
      </c>
      <c r="C121" s="122" t="s">
        <v>309</v>
      </c>
      <c r="D121" s="122" t="s">
        <v>421</v>
      </c>
      <c r="E121" s="123" t="s">
        <v>141</v>
      </c>
      <c r="F121" s="129"/>
      <c r="G121" s="126">
        <v>162400</v>
      </c>
      <c r="H121" s="128">
        <v>43217</v>
      </c>
      <c r="I121" s="124" t="s">
        <v>142</v>
      </c>
      <c r="J121" s="124">
        <v>0.01</v>
      </c>
      <c r="K121" s="311">
        <v>162400</v>
      </c>
      <c r="L121" s="125">
        <v>0</v>
      </c>
      <c r="M121" s="126">
        <f t="shared" si="1"/>
        <v>0</v>
      </c>
      <c r="N121" s="127" t="s">
        <v>143</v>
      </c>
    </row>
    <row r="122" spans="1:14" s="149" customFormat="1" ht="60">
      <c r="A122" s="127">
        <v>113</v>
      </c>
      <c r="B122" s="312" t="s">
        <v>422</v>
      </c>
      <c r="C122" s="122" t="s">
        <v>269</v>
      </c>
      <c r="D122" s="122" t="s">
        <v>356</v>
      </c>
      <c r="E122" s="123" t="s">
        <v>141</v>
      </c>
      <c r="F122" s="129"/>
      <c r="G122" s="126">
        <v>4167.83</v>
      </c>
      <c r="H122" s="128">
        <v>42775</v>
      </c>
      <c r="I122" s="124">
        <v>1</v>
      </c>
      <c r="J122" s="124">
        <v>1</v>
      </c>
      <c r="K122" s="311">
        <v>0</v>
      </c>
      <c r="L122" s="125">
        <v>4167.83</v>
      </c>
      <c r="M122" s="126">
        <f t="shared" si="1"/>
        <v>0</v>
      </c>
      <c r="N122" s="127"/>
    </row>
    <row r="123" spans="1:14" s="149" customFormat="1" ht="60">
      <c r="A123" s="127">
        <v>114</v>
      </c>
      <c r="B123" s="312">
        <v>10816001</v>
      </c>
      <c r="C123" s="122" t="s">
        <v>164</v>
      </c>
      <c r="D123" s="122" t="s">
        <v>346</v>
      </c>
      <c r="E123" s="123" t="s">
        <v>141</v>
      </c>
      <c r="F123" s="129"/>
      <c r="G123" s="126">
        <v>65384.53</v>
      </c>
      <c r="H123" s="128">
        <v>42908</v>
      </c>
      <c r="I123" s="124" t="s">
        <v>142</v>
      </c>
      <c r="J123" s="124">
        <v>1</v>
      </c>
      <c r="K123" s="311">
        <v>0</v>
      </c>
      <c r="L123" s="125">
        <v>65384.53</v>
      </c>
      <c r="M123" s="126">
        <f t="shared" si="1"/>
        <v>0</v>
      </c>
      <c r="N123" s="127"/>
    </row>
    <row r="124" spans="1:14" s="149" customFormat="1" ht="60">
      <c r="A124" s="127">
        <v>115</v>
      </c>
      <c r="B124" s="312">
        <v>12913011</v>
      </c>
      <c r="C124" s="122" t="s">
        <v>201</v>
      </c>
      <c r="D124" s="122" t="s">
        <v>423</v>
      </c>
      <c r="E124" s="123" t="s">
        <v>141</v>
      </c>
      <c r="F124" s="129"/>
      <c r="G124" s="126">
        <v>59955</v>
      </c>
      <c r="H124" s="128">
        <v>42922</v>
      </c>
      <c r="I124" s="124">
        <v>1</v>
      </c>
      <c r="J124" s="124">
        <v>1</v>
      </c>
      <c r="K124" s="311">
        <v>0</v>
      </c>
      <c r="L124" s="125">
        <v>59955</v>
      </c>
      <c r="M124" s="126">
        <f t="shared" si="1"/>
        <v>0</v>
      </c>
      <c r="N124" s="127"/>
    </row>
    <row r="125" spans="1:14" s="149" customFormat="1" ht="60">
      <c r="A125" s="127">
        <v>116</v>
      </c>
      <c r="B125" s="312" t="s">
        <v>424</v>
      </c>
      <c r="C125" s="122" t="s">
        <v>300</v>
      </c>
      <c r="D125" s="122" t="s">
        <v>425</v>
      </c>
      <c r="E125" s="123" t="s">
        <v>141</v>
      </c>
      <c r="F125" s="129"/>
      <c r="G125" s="126">
        <v>48730.51</v>
      </c>
      <c r="H125" s="128">
        <v>42866</v>
      </c>
      <c r="I125" s="124">
        <v>1</v>
      </c>
      <c r="J125" s="124">
        <v>1</v>
      </c>
      <c r="K125" s="311">
        <v>0</v>
      </c>
      <c r="L125" s="125">
        <v>48730.51</v>
      </c>
      <c r="M125" s="126">
        <f t="shared" si="1"/>
        <v>0</v>
      </c>
      <c r="N125" s="127"/>
    </row>
    <row r="126" spans="1:14" s="149" customFormat="1" ht="60">
      <c r="A126" s="127">
        <v>117</v>
      </c>
      <c r="B126" s="312" t="s">
        <v>426</v>
      </c>
      <c r="C126" s="122" t="s">
        <v>312</v>
      </c>
      <c r="D126" s="122" t="s">
        <v>405</v>
      </c>
      <c r="E126" s="123" t="s">
        <v>141</v>
      </c>
      <c r="F126" s="129"/>
      <c r="G126" s="126">
        <v>59291.88</v>
      </c>
      <c r="H126" s="128">
        <v>42984</v>
      </c>
      <c r="I126" s="124" t="s">
        <v>142</v>
      </c>
      <c r="J126" s="124">
        <v>1</v>
      </c>
      <c r="K126" s="311">
        <v>0</v>
      </c>
      <c r="L126" s="125">
        <v>59291.880000000005</v>
      </c>
      <c r="M126" s="126">
        <f t="shared" si="1"/>
        <v>0</v>
      </c>
      <c r="N126" s="127" t="s">
        <v>143</v>
      </c>
    </row>
    <row r="127" spans="1:14" s="149" customFormat="1" ht="60">
      <c r="A127" s="127">
        <v>118</v>
      </c>
      <c r="B127" s="312" t="s">
        <v>427</v>
      </c>
      <c r="C127" s="122" t="s">
        <v>221</v>
      </c>
      <c r="D127" s="122" t="s">
        <v>428</v>
      </c>
      <c r="E127" s="123" t="s">
        <v>141</v>
      </c>
      <c r="F127" s="129"/>
      <c r="G127" s="126">
        <v>9875.92</v>
      </c>
      <c r="H127" s="128">
        <v>42775</v>
      </c>
      <c r="I127" s="124" t="s">
        <v>142</v>
      </c>
      <c r="J127" s="124">
        <v>1</v>
      </c>
      <c r="K127" s="311">
        <v>0</v>
      </c>
      <c r="L127" s="125">
        <v>9875.92</v>
      </c>
      <c r="M127" s="126">
        <f t="shared" si="1"/>
        <v>0</v>
      </c>
      <c r="N127" s="127"/>
    </row>
    <row r="128" spans="1:14" s="149" customFormat="1" ht="60">
      <c r="A128" s="127">
        <v>119</v>
      </c>
      <c r="B128" s="312" t="s">
        <v>429</v>
      </c>
      <c r="C128" s="122" t="s">
        <v>204</v>
      </c>
      <c r="D128" s="122" t="s">
        <v>430</v>
      </c>
      <c r="E128" s="123" t="s">
        <v>141</v>
      </c>
      <c r="F128" s="129"/>
      <c r="G128" s="126">
        <v>435400</v>
      </c>
      <c r="H128" s="128">
        <v>43122</v>
      </c>
      <c r="I128" s="124">
        <v>1</v>
      </c>
      <c r="J128" s="124">
        <v>0.96</v>
      </c>
      <c r="K128" s="311">
        <v>8047.23</v>
      </c>
      <c r="L128" s="125">
        <v>427352.77</v>
      </c>
      <c r="M128" s="126">
        <f t="shared" si="1"/>
        <v>0</v>
      </c>
      <c r="N128" s="127" t="s">
        <v>143</v>
      </c>
    </row>
    <row r="129" spans="1:14" s="149" customFormat="1" ht="60">
      <c r="A129" s="127">
        <v>120</v>
      </c>
      <c r="B129" s="312" t="s">
        <v>431</v>
      </c>
      <c r="C129" s="122" t="s">
        <v>300</v>
      </c>
      <c r="D129" s="122" t="s">
        <v>432</v>
      </c>
      <c r="E129" s="123" t="s">
        <v>141</v>
      </c>
      <c r="F129" s="129"/>
      <c r="G129" s="126">
        <v>85743</v>
      </c>
      <c r="H129" s="128">
        <v>43068</v>
      </c>
      <c r="I129" s="124" t="s">
        <v>142</v>
      </c>
      <c r="J129" s="124">
        <v>1</v>
      </c>
      <c r="K129" s="311">
        <v>5298.59</v>
      </c>
      <c r="L129" s="125">
        <v>80444.41</v>
      </c>
      <c r="M129" s="126">
        <f t="shared" si="1"/>
        <v>0</v>
      </c>
      <c r="N129" s="127" t="s">
        <v>143</v>
      </c>
    </row>
    <row r="130" spans="1:14" s="149" customFormat="1" ht="60">
      <c r="A130" s="127">
        <v>121</v>
      </c>
      <c r="B130" s="312" t="s">
        <v>433</v>
      </c>
      <c r="C130" s="122" t="s">
        <v>382</v>
      </c>
      <c r="D130" s="122" t="s">
        <v>434</v>
      </c>
      <c r="E130" s="123" t="s">
        <v>141</v>
      </c>
      <c r="F130" s="129"/>
      <c r="G130" s="126">
        <v>328400</v>
      </c>
      <c r="H130" s="128">
        <v>43154</v>
      </c>
      <c r="I130" s="124" t="s">
        <v>142</v>
      </c>
      <c r="J130" s="124">
        <v>0.01</v>
      </c>
      <c r="K130" s="311">
        <v>328400</v>
      </c>
      <c r="L130" s="125">
        <v>0</v>
      </c>
      <c r="M130" s="126">
        <f t="shared" si="1"/>
        <v>0</v>
      </c>
      <c r="N130" s="127"/>
    </row>
    <row r="131" spans="1:14" s="149" customFormat="1" ht="60">
      <c r="A131" s="127">
        <v>122</v>
      </c>
      <c r="B131" s="312" t="s">
        <v>435</v>
      </c>
      <c r="C131" s="122" t="s">
        <v>372</v>
      </c>
      <c r="D131" s="122" t="s">
        <v>436</v>
      </c>
      <c r="E131" s="123" t="s">
        <v>141</v>
      </c>
      <c r="F131" s="129"/>
      <c r="G131" s="126">
        <v>121600</v>
      </c>
      <c r="H131" s="128">
        <v>43217</v>
      </c>
      <c r="I131" s="124" t="s">
        <v>142</v>
      </c>
      <c r="J131" s="124">
        <v>0.02</v>
      </c>
      <c r="K131" s="311">
        <v>120300</v>
      </c>
      <c r="L131" s="125">
        <v>1300</v>
      </c>
      <c r="M131" s="126">
        <f t="shared" si="1"/>
        <v>0</v>
      </c>
      <c r="N131" s="127" t="s">
        <v>143</v>
      </c>
    </row>
    <row r="132" spans="1:14" s="149" customFormat="1" ht="60">
      <c r="A132" s="127">
        <v>123</v>
      </c>
      <c r="B132" s="312" t="s">
        <v>437</v>
      </c>
      <c r="C132" s="122" t="s">
        <v>438</v>
      </c>
      <c r="D132" s="122" t="s">
        <v>346</v>
      </c>
      <c r="E132" s="123" t="s">
        <v>141</v>
      </c>
      <c r="F132" s="129"/>
      <c r="G132" s="126">
        <v>155000</v>
      </c>
      <c r="H132" s="128">
        <v>43280</v>
      </c>
      <c r="I132" s="124" t="s">
        <v>142</v>
      </c>
      <c r="J132" s="124">
        <v>0.02</v>
      </c>
      <c r="K132" s="311">
        <v>143369.53</v>
      </c>
      <c r="L132" s="125">
        <v>11630.47</v>
      </c>
      <c r="M132" s="126">
        <f t="shared" si="1"/>
        <v>0</v>
      </c>
      <c r="N132" s="127" t="s">
        <v>143</v>
      </c>
    </row>
    <row r="133" spans="1:14" s="149" customFormat="1" ht="60">
      <c r="A133" s="127">
        <v>124</v>
      </c>
      <c r="B133" s="312" t="s">
        <v>439</v>
      </c>
      <c r="C133" s="122" t="s">
        <v>416</v>
      </c>
      <c r="D133" s="122" t="s">
        <v>440</v>
      </c>
      <c r="E133" s="123" t="s">
        <v>141</v>
      </c>
      <c r="F133" s="129"/>
      <c r="G133" s="126">
        <v>86153.13</v>
      </c>
      <c r="H133" s="128">
        <v>42935</v>
      </c>
      <c r="I133" s="124" t="s">
        <v>142</v>
      </c>
      <c r="J133" s="124">
        <v>1</v>
      </c>
      <c r="K133" s="311">
        <v>0</v>
      </c>
      <c r="L133" s="125">
        <v>86153.13</v>
      </c>
      <c r="M133" s="126">
        <f t="shared" si="1"/>
        <v>0</v>
      </c>
      <c r="N133" s="127"/>
    </row>
    <row r="134" spans="1:14" s="149" customFormat="1" ht="60">
      <c r="A134" s="127">
        <v>125</v>
      </c>
      <c r="B134" s="312" t="s">
        <v>441</v>
      </c>
      <c r="C134" s="122" t="s">
        <v>369</v>
      </c>
      <c r="D134" s="122" t="s">
        <v>442</v>
      </c>
      <c r="E134" s="123" t="s">
        <v>141</v>
      </c>
      <c r="F134" s="129"/>
      <c r="G134" s="126">
        <v>217600</v>
      </c>
      <c r="H134" s="128">
        <v>43112</v>
      </c>
      <c r="I134" s="124" t="s">
        <v>142</v>
      </c>
      <c r="J134" s="124">
        <v>0.03</v>
      </c>
      <c r="K134" s="311">
        <v>217600</v>
      </c>
      <c r="L134" s="125">
        <v>0</v>
      </c>
      <c r="M134" s="126">
        <f t="shared" si="1"/>
        <v>0</v>
      </c>
      <c r="N134" s="127"/>
    </row>
    <row r="135" spans="1:14" s="149" customFormat="1" ht="60">
      <c r="A135" s="127">
        <v>126</v>
      </c>
      <c r="B135" s="312">
        <v>10316004</v>
      </c>
      <c r="C135" s="122" t="s">
        <v>369</v>
      </c>
      <c r="D135" s="122" t="s">
        <v>436</v>
      </c>
      <c r="E135" s="123" t="s">
        <v>141</v>
      </c>
      <c r="F135" s="129"/>
      <c r="G135" s="126">
        <v>63800</v>
      </c>
      <c r="H135" s="128">
        <v>43161</v>
      </c>
      <c r="I135" s="124" t="s">
        <v>142</v>
      </c>
      <c r="J135" s="124">
        <v>0.05</v>
      </c>
      <c r="K135" s="311">
        <v>12308.93</v>
      </c>
      <c r="L135" s="125">
        <v>51491.070000000007</v>
      </c>
      <c r="M135" s="126">
        <f t="shared" si="1"/>
        <v>0</v>
      </c>
      <c r="N135" s="127" t="s">
        <v>143</v>
      </c>
    </row>
    <row r="136" spans="1:14" s="149" customFormat="1" ht="60">
      <c r="A136" s="127">
        <v>127</v>
      </c>
      <c r="B136" s="312" t="s">
        <v>443</v>
      </c>
      <c r="C136" s="122" t="s">
        <v>444</v>
      </c>
      <c r="D136" s="122" t="s">
        <v>436</v>
      </c>
      <c r="E136" s="123" t="s">
        <v>141</v>
      </c>
      <c r="F136" s="129"/>
      <c r="G136" s="126">
        <v>74000</v>
      </c>
      <c r="H136" s="128">
        <v>43019</v>
      </c>
      <c r="I136" s="124" t="s">
        <v>142</v>
      </c>
      <c r="J136" s="124">
        <v>1</v>
      </c>
      <c r="K136" s="311">
        <v>11201.88</v>
      </c>
      <c r="L136" s="125">
        <v>62798.12</v>
      </c>
      <c r="M136" s="126">
        <f t="shared" ref="M136:M177" si="2">G136-K136-L136</f>
        <v>0</v>
      </c>
      <c r="N136" s="127" t="s">
        <v>143</v>
      </c>
    </row>
    <row r="137" spans="1:14" s="149" customFormat="1" ht="60">
      <c r="A137" s="127">
        <v>128</v>
      </c>
      <c r="B137" s="312" t="s">
        <v>445</v>
      </c>
      <c r="C137" s="122" t="s">
        <v>309</v>
      </c>
      <c r="D137" s="122" t="s">
        <v>436</v>
      </c>
      <c r="E137" s="123" t="s">
        <v>141</v>
      </c>
      <c r="F137" s="129"/>
      <c r="G137" s="126">
        <v>185400</v>
      </c>
      <c r="H137" s="128">
        <v>43220</v>
      </c>
      <c r="I137" s="124" t="s">
        <v>142</v>
      </c>
      <c r="J137" s="124">
        <v>0.04</v>
      </c>
      <c r="K137" s="311">
        <v>185400</v>
      </c>
      <c r="L137" s="125">
        <v>0</v>
      </c>
      <c r="M137" s="126">
        <f t="shared" si="2"/>
        <v>0</v>
      </c>
      <c r="N137" s="127" t="s">
        <v>143</v>
      </c>
    </row>
    <row r="138" spans="1:14" s="149" customFormat="1" ht="60">
      <c r="A138" s="127">
        <v>129</v>
      </c>
      <c r="B138" s="312" t="s">
        <v>446</v>
      </c>
      <c r="C138" s="122" t="s">
        <v>447</v>
      </c>
      <c r="D138" s="122" t="s">
        <v>436</v>
      </c>
      <c r="E138" s="123" t="s">
        <v>141</v>
      </c>
      <c r="F138" s="129"/>
      <c r="G138" s="126">
        <v>70700</v>
      </c>
      <c r="H138" s="128">
        <v>43308</v>
      </c>
      <c r="I138" s="124" t="s">
        <v>142</v>
      </c>
      <c r="J138" s="124">
        <v>0.02</v>
      </c>
      <c r="K138" s="311">
        <v>64251.65</v>
      </c>
      <c r="L138" s="125">
        <v>6448.35</v>
      </c>
      <c r="M138" s="126">
        <f t="shared" si="2"/>
        <v>0</v>
      </c>
      <c r="N138" s="127" t="s">
        <v>143</v>
      </c>
    </row>
    <row r="139" spans="1:14" s="149" customFormat="1" ht="60">
      <c r="A139" s="127">
        <v>130</v>
      </c>
      <c r="B139" s="312">
        <v>10815005</v>
      </c>
      <c r="C139" s="122" t="s">
        <v>164</v>
      </c>
      <c r="D139" s="122" t="s">
        <v>448</v>
      </c>
      <c r="E139" s="123" t="s">
        <v>141</v>
      </c>
      <c r="F139" s="129"/>
      <c r="G139" s="126">
        <v>55385.89</v>
      </c>
      <c r="H139" s="128">
        <v>42926</v>
      </c>
      <c r="I139" s="124" t="s">
        <v>142</v>
      </c>
      <c r="J139" s="124">
        <v>1</v>
      </c>
      <c r="K139" s="311">
        <v>0</v>
      </c>
      <c r="L139" s="311">
        <v>55385.89</v>
      </c>
      <c r="M139" s="126">
        <f t="shared" si="2"/>
        <v>0</v>
      </c>
      <c r="N139" s="127"/>
    </row>
    <row r="140" spans="1:14" s="149" customFormat="1" ht="60">
      <c r="A140" s="127">
        <v>131</v>
      </c>
      <c r="B140" s="312" t="s">
        <v>449</v>
      </c>
      <c r="C140" s="122" t="s">
        <v>210</v>
      </c>
      <c r="D140" s="122" t="s">
        <v>436</v>
      </c>
      <c r="E140" s="123" t="s">
        <v>141</v>
      </c>
      <c r="F140" s="129"/>
      <c r="G140" s="126">
        <v>72400</v>
      </c>
      <c r="H140" s="128">
        <v>43154</v>
      </c>
      <c r="I140" s="124" t="s">
        <v>142</v>
      </c>
      <c r="J140" s="124">
        <v>0.98</v>
      </c>
      <c r="K140" s="311">
        <v>8424.2000000000007</v>
      </c>
      <c r="L140" s="125">
        <v>63975.8</v>
      </c>
      <c r="M140" s="126">
        <f t="shared" si="2"/>
        <v>0</v>
      </c>
      <c r="N140" s="127" t="s">
        <v>143</v>
      </c>
    </row>
    <row r="141" spans="1:14" s="149" customFormat="1" ht="60">
      <c r="A141" s="127">
        <v>132</v>
      </c>
      <c r="B141" s="312" t="s">
        <v>450</v>
      </c>
      <c r="C141" s="122" t="s">
        <v>451</v>
      </c>
      <c r="D141" s="122" t="s">
        <v>436</v>
      </c>
      <c r="E141" s="123" t="s">
        <v>141</v>
      </c>
      <c r="F141" s="129"/>
      <c r="G141" s="126">
        <v>74100</v>
      </c>
      <c r="H141" s="128">
        <v>43147</v>
      </c>
      <c r="I141" s="124" t="s">
        <v>142</v>
      </c>
      <c r="J141" s="124">
        <v>0.98</v>
      </c>
      <c r="K141" s="311">
        <v>15048.65</v>
      </c>
      <c r="L141" s="125">
        <v>59051.35</v>
      </c>
      <c r="M141" s="126">
        <f t="shared" si="2"/>
        <v>0</v>
      </c>
      <c r="N141" s="127"/>
    </row>
    <row r="142" spans="1:14" s="149" customFormat="1" ht="60">
      <c r="A142" s="127">
        <v>133</v>
      </c>
      <c r="B142" s="312" t="s">
        <v>452</v>
      </c>
      <c r="C142" s="122" t="s">
        <v>170</v>
      </c>
      <c r="D142" s="122" t="s">
        <v>453</v>
      </c>
      <c r="E142" s="123" t="s">
        <v>141</v>
      </c>
      <c r="F142" s="129"/>
      <c r="G142" s="126">
        <v>141200</v>
      </c>
      <c r="H142" s="128">
        <v>43182</v>
      </c>
      <c r="I142" s="124" t="s">
        <v>142</v>
      </c>
      <c r="J142" s="124">
        <v>0.04</v>
      </c>
      <c r="K142" s="311">
        <v>140789.65</v>
      </c>
      <c r="L142" s="125">
        <v>410.35</v>
      </c>
      <c r="M142" s="126">
        <f>G142-K142-L142</f>
        <v>5.7980287238024175E-12</v>
      </c>
      <c r="N142" s="127" t="s">
        <v>143</v>
      </c>
    </row>
    <row r="143" spans="1:14" s="149" customFormat="1" ht="60">
      <c r="A143" s="127">
        <v>134</v>
      </c>
      <c r="B143" s="312" t="s">
        <v>454</v>
      </c>
      <c r="C143" s="122" t="s">
        <v>455</v>
      </c>
      <c r="D143" s="122" t="s">
        <v>436</v>
      </c>
      <c r="E143" s="123" t="s">
        <v>141</v>
      </c>
      <c r="F143" s="129"/>
      <c r="G143" s="126">
        <v>64566.559999999998</v>
      </c>
      <c r="H143" s="128">
        <v>42975</v>
      </c>
      <c r="I143" s="124" t="s">
        <v>142</v>
      </c>
      <c r="J143" s="124">
        <v>1</v>
      </c>
      <c r="K143" s="311">
        <v>0</v>
      </c>
      <c r="L143" s="125">
        <v>64566.559999999998</v>
      </c>
      <c r="M143" s="126">
        <f t="shared" si="2"/>
        <v>0</v>
      </c>
      <c r="N143" s="127" t="s">
        <v>143</v>
      </c>
    </row>
    <row r="144" spans="1:14" s="149" customFormat="1" ht="60">
      <c r="A144" s="127">
        <v>135</v>
      </c>
      <c r="B144" s="312" t="s">
        <v>456</v>
      </c>
      <c r="C144" s="122" t="s">
        <v>382</v>
      </c>
      <c r="D144" s="122" t="s">
        <v>457</v>
      </c>
      <c r="E144" s="123" t="s">
        <v>141</v>
      </c>
      <c r="F144" s="129"/>
      <c r="G144" s="126">
        <v>383300</v>
      </c>
      <c r="H144" s="128">
        <v>43217</v>
      </c>
      <c r="I144" s="124" t="s">
        <v>142</v>
      </c>
      <c r="J144" s="124">
        <v>0.01</v>
      </c>
      <c r="K144" s="311">
        <v>383300</v>
      </c>
      <c r="L144" s="125">
        <v>0</v>
      </c>
      <c r="M144" s="126">
        <f t="shared" si="2"/>
        <v>0</v>
      </c>
      <c r="N144" s="127" t="s">
        <v>143</v>
      </c>
    </row>
    <row r="145" spans="1:14" s="149" customFormat="1" ht="60">
      <c r="A145" s="127">
        <v>136</v>
      </c>
      <c r="B145" s="312" t="s">
        <v>458</v>
      </c>
      <c r="C145" s="122" t="s">
        <v>382</v>
      </c>
      <c r="D145" s="122" t="s">
        <v>457</v>
      </c>
      <c r="E145" s="123" t="s">
        <v>141</v>
      </c>
      <c r="F145" s="129"/>
      <c r="G145" s="126">
        <v>253400</v>
      </c>
      <c r="H145" s="128">
        <v>43182</v>
      </c>
      <c r="I145" s="124" t="s">
        <v>142</v>
      </c>
      <c r="J145" s="124">
        <v>0.01</v>
      </c>
      <c r="K145" s="311">
        <v>253400</v>
      </c>
      <c r="L145" s="125">
        <v>0</v>
      </c>
      <c r="M145" s="126">
        <f t="shared" si="2"/>
        <v>0</v>
      </c>
      <c r="N145" s="127" t="s">
        <v>143</v>
      </c>
    </row>
    <row r="146" spans="1:14" s="149" customFormat="1" ht="60">
      <c r="A146" s="127">
        <v>137</v>
      </c>
      <c r="B146" s="312" t="s">
        <v>459</v>
      </c>
      <c r="C146" s="122" t="s">
        <v>460</v>
      </c>
      <c r="D146" s="122" t="s">
        <v>436</v>
      </c>
      <c r="E146" s="123" t="s">
        <v>141</v>
      </c>
      <c r="F146" s="129"/>
      <c r="G146" s="126">
        <v>155000</v>
      </c>
      <c r="H146" s="128">
        <v>43280</v>
      </c>
      <c r="I146" s="124" t="s">
        <v>142</v>
      </c>
      <c r="J146" s="124">
        <v>0.01</v>
      </c>
      <c r="K146" s="311">
        <v>141630.19</v>
      </c>
      <c r="L146" s="125">
        <v>13369.81</v>
      </c>
      <c r="M146" s="126">
        <f t="shared" si="2"/>
        <v>0</v>
      </c>
      <c r="N146" s="127" t="s">
        <v>143</v>
      </c>
    </row>
    <row r="147" spans="1:14" s="149" customFormat="1" ht="60">
      <c r="A147" s="127">
        <v>138</v>
      </c>
      <c r="B147" s="312" t="s">
        <v>461</v>
      </c>
      <c r="C147" s="122" t="s">
        <v>462</v>
      </c>
      <c r="D147" s="122" t="s">
        <v>463</v>
      </c>
      <c r="E147" s="123" t="s">
        <v>141</v>
      </c>
      <c r="F147" s="129"/>
      <c r="G147" s="126">
        <v>18898.599999999999</v>
      </c>
      <c r="H147" s="128">
        <v>43280</v>
      </c>
      <c r="I147" s="124">
        <v>1</v>
      </c>
      <c r="J147" s="124">
        <v>0.14000000000000001</v>
      </c>
      <c r="K147" s="311">
        <v>11523.73</v>
      </c>
      <c r="L147" s="125">
        <v>7374.87</v>
      </c>
      <c r="M147" s="126">
        <f t="shared" si="2"/>
        <v>0</v>
      </c>
      <c r="N147" s="127"/>
    </row>
    <row r="148" spans="1:14" s="149" customFormat="1" ht="60">
      <c r="A148" s="127">
        <v>139</v>
      </c>
      <c r="B148" s="312" t="s">
        <v>464</v>
      </c>
      <c r="C148" s="122" t="s">
        <v>173</v>
      </c>
      <c r="D148" s="122" t="s">
        <v>465</v>
      </c>
      <c r="E148" s="123" t="s">
        <v>141</v>
      </c>
      <c r="F148" s="129"/>
      <c r="G148" s="126">
        <v>40189.14</v>
      </c>
      <c r="H148" s="128">
        <v>43153</v>
      </c>
      <c r="I148" s="124">
        <v>1</v>
      </c>
      <c r="J148" s="124">
        <v>0.88</v>
      </c>
      <c r="K148" s="311">
        <v>1242.95</v>
      </c>
      <c r="L148" s="125">
        <v>38946.19</v>
      </c>
      <c r="M148" s="126">
        <f t="shared" si="2"/>
        <v>0</v>
      </c>
      <c r="N148" s="127" t="s">
        <v>143</v>
      </c>
    </row>
    <row r="149" spans="1:14" s="149" customFormat="1" ht="60">
      <c r="A149" s="127">
        <v>140</v>
      </c>
      <c r="B149" s="312">
        <v>10114004</v>
      </c>
      <c r="C149" s="122" t="s">
        <v>466</v>
      </c>
      <c r="D149" s="122" t="s">
        <v>467</v>
      </c>
      <c r="E149" s="123" t="s">
        <v>141</v>
      </c>
      <c r="F149" s="129"/>
      <c r="G149" s="126">
        <v>9640.3100000000013</v>
      </c>
      <c r="H149" s="128">
        <v>42909</v>
      </c>
      <c r="I149" s="124">
        <v>1</v>
      </c>
      <c r="J149" s="124">
        <v>1</v>
      </c>
      <c r="K149" s="311">
        <v>0</v>
      </c>
      <c r="L149" s="125">
        <v>9640.3100000000013</v>
      </c>
      <c r="M149" s="126">
        <f t="shared" si="2"/>
        <v>0</v>
      </c>
      <c r="N149" s="127" t="s">
        <v>143</v>
      </c>
    </row>
    <row r="150" spans="1:14" s="149" customFormat="1" ht="60">
      <c r="A150" s="127">
        <v>141</v>
      </c>
      <c r="B150" s="312">
        <v>11810001</v>
      </c>
      <c r="C150" s="122" t="s">
        <v>250</v>
      </c>
      <c r="D150" s="122" t="s">
        <v>468</v>
      </c>
      <c r="E150" s="123" t="s">
        <v>141</v>
      </c>
      <c r="F150" s="129"/>
      <c r="G150" s="126">
        <v>126632.36</v>
      </c>
      <c r="H150" s="128">
        <v>43011</v>
      </c>
      <c r="I150" s="124">
        <v>1</v>
      </c>
      <c r="J150" s="124">
        <v>1</v>
      </c>
      <c r="K150" s="311">
        <v>28511.719999999998</v>
      </c>
      <c r="L150" s="125">
        <v>98120.640000000014</v>
      </c>
      <c r="M150" s="126">
        <f t="shared" si="2"/>
        <v>0</v>
      </c>
      <c r="N150" s="127" t="s">
        <v>143</v>
      </c>
    </row>
    <row r="151" spans="1:14" s="149" customFormat="1" ht="60">
      <c r="A151" s="127">
        <v>142</v>
      </c>
      <c r="B151" s="312">
        <v>11815001</v>
      </c>
      <c r="C151" s="122" t="s">
        <v>250</v>
      </c>
      <c r="D151" s="122" t="s">
        <v>463</v>
      </c>
      <c r="E151" s="123" t="s">
        <v>141</v>
      </c>
      <c r="F151" s="129"/>
      <c r="G151" s="126">
        <v>36960.53</v>
      </c>
      <c r="H151" s="128">
        <v>43011</v>
      </c>
      <c r="I151" s="124">
        <v>1</v>
      </c>
      <c r="J151" s="124">
        <v>1</v>
      </c>
      <c r="K151" s="311">
        <v>5896.7900000000045</v>
      </c>
      <c r="L151" s="125">
        <v>31063.739999999994</v>
      </c>
      <c r="M151" s="126">
        <f t="shared" si="2"/>
        <v>0</v>
      </c>
      <c r="N151" s="127" t="s">
        <v>143</v>
      </c>
    </row>
    <row r="152" spans="1:14" s="149" customFormat="1" ht="60">
      <c r="A152" s="127">
        <v>143</v>
      </c>
      <c r="B152" s="312" t="s">
        <v>469</v>
      </c>
      <c r="C152" s="122" t="s">
        <v>198</v>
      </c>
      <c r="D152" s="122" t="s">
        <v>470</v>
      </c>
      <c r="E152" s="123" t="s">
        <v>141</v>
      </c>
      <c r="F152" s="129"/>
      <c r="G152" s="126">
        <v>11917.11</v>
      </c>
      <c r="H152" s="128">
        <v>42779</v>
      </c>
      <c r="I152" s="124" t="s">
        <v>142</v>
      </c>
      <c r="J152" s="124">
        <v>1</v>
      </c>
      <c r="K152" s="311">
        <v>0</v>
      </c>
      <c r="L152" s="125">
        <v>11917.11</v>
      </c>
      <c r="M152" s="126">
        <f t="shared" si="2"/>
        <v>0</v>
      </c>
      <c r="N152" s="127" t="s">
        <v>143</v>
      </c>
    </row>
    <row r="153" spans="1:14" s="149" customFormat="1" ht="60">
      <c r="A153" s="127">
        <v>144</v>
      </c>
      <c r="B153" s="312" t="s">
        <v>471</v>
      </c>
      <c r="C153" s="122" t="s">
        <v>238</v>
      </c>
      <c r="D153" s="122" t="s">
        <v>470</v>
      </c>
      <c r="E153" s="123" t="s">
        <v>141</v>
      </c>
      <c r="F153" s="129"/>
      <c r="G153" s="126">
        <v>15026.46</v>
      </c>
      <c r="H153" s="128">
        <v>42719</v>
      </c>
      <c r="I153" s="124" t="s">
        <v>142</v>
      </c>
      <c r="J153" s="124">
        <v>1</v>
      </c>
      <c r="K153" s="311">
        <v>0</v>
      </c>
      <c r="L153" s="125">
        <v>15026.46</v>
      </c>
      <c r="M153" s="126">
        <f t="shared" si="2"/>
        <v>0</v>
      </c>
      <c r="N153" s="127" t="s">
        <v>143</v>
      </c>
    </row>
    <row r="154" spans="1:14" s="149" customFormat="1" ht="60">
      <c r="A154" s="127">
        <v>145</v>
      </c>
      <c r="B154" s="312" t="s">
        <v>472</v>
      </c>
      <c r="C154" s="122" t="s">
        <v>328</v>
      </c>
      <c r="D154" s="122" t="s">
        <v>473</v>
      </c>
      <c r="E154" s="123" t="s">
        <v>141</v>
      </c>
      <c r="F154" s="129"/>
      <c r="G154" s="126">
        <v>57800</v>
      </c>
      <c r="H154" s="128">
        <v>43130</v>
      </c>
      <c r="I154" s="124">
        <v>1</v>
      </c>
      <c r="J154" s="124">
        <v>0.97</v>
      </c>
      <c r="K154" s="311">
        <v>12418.230000000003</v>
      </c>
      <c r="L154" s="125">
        <v>45381.77</v>
      </c>
      <c r="M154" s="126">
        <f t="shared" si="2"/>
        <v>0</v>
      </c>
      <c r="N154" s="127" t="s">
        <v>143</v>
      </c>
    </row>
    <row r="155" spans="1:14" s="149" customFormat="1" ht="60">
      <c r="A155" s="127">
        <v>146</v>
      </c>
      <c r="B155" s="312" t="s">
        <v>474</v>
      </c>
      <c r="C155" s="122" t="s">
        <v>145</v>
      </c>
      <c r="D155" s="122" t="s">
        <v>475</v>
      </c>
      <c r="E155" s="123" t="s">
        <v>141</v>
      </c>
      <c r="F155" s="129"/>
      <c r="G155" s="126">
        <v>52200</v>
      </c>
      <c r="H155" s="128">
        <v>43119</v>
      </c>
      <c r="I155" s="124">
        <v>1</v>
      </c>
      <c r="J155" s="124">
        <v>0.7</v>
      </c>
      <c r="K155" s="311">
        <v>10711.759999999998</v>
      </c>
      <c r="L155" s="125">
        <v>41488.239999999998</v>
      </c>
      <c r="M155" s="126">
        <f t="shared" si="2"/>
        <v>0</v>
      </c>
      <c r="N155" s="127" t="s">
        <v>143</v>
      </c>
    </row>
    <row r="156" spans="1:14" s="149" customFormat="1" ht="60">
      <c r="A156" s="127">
        <v>147</v>
      </c>
      <c r="B156" s="312" t="s">
        <v>476</v>
      </c>
      <c r="C156" s="122" t="s">
        <v>253</v>
      </c>
      <c r="D156" s="122" t="s">
        <v>199</v>
      </c>
      <c r="E156" s="123" t="s">
        <v>141</v>
      </c>
      <c r="F156" s="129"/>
      <c r="G156" s="126">
        <v>66200</v>
      </c>
      <c r="H156" s="128">
        <v>43161</v>
      </c>
      <c r="I156" s="124">
        <v>1</v>
      </c>
      <c r="J156" s="124">
        <v>0.96</v>
      </c>
      <c r="K156" s="311">
        <v>7979.9</v>
      </c>
      <c r="L156" s="125">
        <v>58220.100000000006</v>
      </c>
      <c r="M156" s="126">
        <f t="shared" si="2"/>
        <v>0</v>
      </c>
      <c r="N156" s="127" t="s">
        <v>143</v>
      </c>
    </row>
    <row r="157" spans="1:14" s="149" customFormat="1" ht="60">
      <c r="A157" s="127">
        <v>148</v>
      </c>
      <c r="B157" s="312" t="s">
        <v>477</v>
      </c>
      <c r="C157" s="122" t="s">
        <v>478</v>
      </c>
      <c r="D157" s="122" t="s">
        <v>479</v>
      </c>
      <c r="E157" s="123" t="s">
        <v>257</v>
      </c>
      <c r="F157" s="129"/>
      <c r="G157" s="126">
        <v>319700</v>
      </c>
      <c r="H157" s="128">
        <v>43382</v>
      </c>
      <c r="I157" s="124">
        <v>0.15</v>
      </c>
      <c r="J157" s="124" t="s">
        <v>142</v>
      </c>
      <c r="K157" s="311">
        <v>319700</v>
      </c>
      <c r="L157" s="125">
        <v>0</v>
      </c>
      <c r="M157" s="126">
        <f t="shared" si="2"/>
        <v>0</v>
      </c>
      <c r="N157" s="127" t="s">
        <v>143</v>
      </c>
    </row>
    <row r="158" spans="1:14" s="149" customFormat="1" ht="60">
      <c r="A158" s="127">
        <v>149</v>
      </c>
      <c r="B158" s="312" t="s">
        <v>480</v>
      </c>
      <c r="C158" s="122" t="s">
        <v>151</v>
      </c>
      <c r="D158" s="122" t="s">
        <v>479</v>
      </c>
      <c r="E158" s="123" t="s">
        <v>257</v>
      </c>
      <c r="F158" s="129"/>
      <c r="G158" s="126">
        <v>310700</v>
      </c>
      <c r="H158" s="128">
        <v>43421</v>
      </c>
      <c r="I158" s="124">
        <v>0.15</v>
      </c>
      <c r="J158" s="124" t="s">
        <v>142</v>
      </c>
      <c r="K158" s="311">
        <v>310700</v>
      </c>
      <c r="L158" s="125">
        <v>0</v>
      </c>
      <c r="M158" s="126">
        <f t="shared" si="2"/>
        <v>0</v>
      </c>
      <c r="N158" s="127" t="s">
        <v>143</v>
      </c>
    </row>
    <row r="159" spans="1:14" s="149" customFormat="1" ht="60">
      <c r="A159" s="127">
        <v>150</v>
      </c>
      <c r="B159" s="312" t="s">
        <v>481</v>
      </c>
      <c r="C159" s="122" t="s">
        <v>300</v>
      </c>
      <c r="D159" s="122" t="s">
        <v>482</v>
      </c>
      <c r="E159" s="123" t="s">
        <v>257</v>
      </c>
      <c r="F159" s="129"/>
      <c r="G159" s="126">
        <v>313800</v>
      </c>
      <c r="H159" s="128">
        <v>43283</v>
      </c>
      <c r="I159" s="124">
        <v>0.15</v>
      </c>
      <c r="J159" s="124" t="s">
        <v>142</v>
      </c>
      <c r="K159" s="311">
        <v>313800</v>
      </c>
      <c r="L159" s="125">
        <v>0</v>
      </c>
      <c r="M159" s="126">
        <f t="shared" si="2"/>
        <v>0</v>
      </c>
      <c r="N159" s="127" t="s">
        <v>143</v>
      </c>
    </row>
    <row r="160" spans="1:14" s="149" customFormat="1" ht="60">
      <c r="A160" s="127">
        <v>151</v>
      </c>
      <c r="B160" s="312" t="s">
        <v>483</v>
      </c>
      <c r="C160" s="122" t="s">
        <v>363</v>
      </c>
      <c r="D160" s="122" t="s">
        <v>484</v>
      </c>
      <c r="E160" s="123" t="s">
        <v>257</v>
      </c>
      <c r="F160" s="129"/>
      <c r="G160" s="126">
        <v>757100</v>
      </c>
      <c r="H160" s="128">
        <v>43383</v>
      </c>
      <c r="I160" s="124">
        <v>0.01</v>
      </c>
      <c r="J160" s="124" t="s">
        <v>142</v>
      </c>
      <c r="K160" s="311">
        <v>757100</v>
      </c>
      <c r="L160" s="125">
        <v>0</v>
      </c>
      <c r="M160" s="126">
        <f t="shared" si="2"/>
        <v>0</v>
      </c>
      <c r="N160" s="127" t="s">
        <v>143</v>
      </c>
    </row>
    <row r="161" spans="1:14" s="149" customFormat="1" ht="60">
      <c r="A161" s="127">
        <v>152</v>
      </c>
      <c r="B161" s="312" t="s">
        <v>485</v>
      </c>
      <c r="C161" s="122" t="s">
        <v>266</v>
      </c>
      <c r="D161" s="122" t="s">
        <v>486</v>
      </c>
      <c r="E161" s="123" t="s">
        <v>257</v>
      </c>
      <c r="F161" s="129"/>
      <c r="G161" s="126">
        <v>111100</v>
      </c>
      <c r="H161" s="128">
        <v>43205</v>
      </c>
      <c r="I161" s="124">
        <v>0.14000000000000001</v>
      </c>
      <c r="J161" s="124" t="s">
        <v>142</v>
      </c>
      <c r="K161" s="311">
        <v>73739.869999999981</v>
      </c>
      <c r="L161" s="125">
        <v>37360.12999999999</v>
      </c>
      <c r="M161" s="126">
        <f t="shared" si="2"/>
        <v>0</v>
      </c>
      <c r="N161" s="127" t="s">
        <v>143</v>
      </c>
    </row>
    <row r="162" spans="1:14" s="149" customFormat="1" ht="60">
      <c r="A162" s="127">
        <v>153</v>
      </c>
      <c r="B162" s="312" t="s">
        <v>487</v>
      </c>
      <c r="C162" s="122" t="s">
        <v>340</v>
      </c>
      <c r="D162" s="122" t="s">
        <v>488</v>
      </c>
      <c r="E162" s="123" t="s">
        <v>257</v>
      </c>
      <c r="F162" s="129"/>
      <c r="G162" s="126">
        <v>45400</v>
      </c>
      <c r="H162" s="128">
        <v>43336</v>
      </c>
      <c r="I162" s="124">
        <v>0.45</v>
      </c>
      <c r="J162" s="124" t="s">
        <v>142</v>
      </c>
      <c r="K162" s="311">
        <v>41031.699999999997</v>
      </c>
      <c r="L162" s="125">
        <v>4368.3</v>
      </c>
      <c r="M162" s="126">
        <f t="shared" si="2"/>
        <v>0</v>
      </c>
      <c r="N162" s="127" t="s">
        <v>143</v>
      </c>
    </row>
    <row r="163" spans="1:14" s="149" customFormat="1" ht="60">
      <c r="A163" s="127">
        <v>154</v>
      </c>
      <c r="B163" s="312" t="s">
        <v>489</v>
      </c>
      <c r="C163" s="122" t="s">
        <v>397</v>
      </c>
      <c r="D163" s="122" t="s">
        <v>482</v>
      </c>
      <c r="E163" s="123" t="s">
        <v>257</v>
      </c>
      <c r="F163" s="129"/>
      <c r="G163" s="126">
        <v>518700</v>
      </c>
      <c r="H163" s="128">
        <v>43693</v>
      </c>
      <c r="I163" s="124">
        <v>0.11</v>
      </c>
      <c r="J163" s="124" t="s">
        <v>142</v>
      </c>
      <c r="K163" s="311">
        <v>481941</v>
      </c>
      <c r="L163" s="125">
        <v>36759</v>
      </c>
      <c r="M163" s="126">
        <f t="shared" si="2"/>
        <v>0</v>
      </c>
      <c r="N163" s="127" t="s">
        <v>143</v>
      </c>
    </row>
    <row r="164" spans="1:14" s="149" customFormat="1" ht="60">
      <c r="A164" s="127">
        <v>155</v>
      </c>
      <c r="B164" s="312" t="s">
        <v>490</v>
      </c>
      <c r="C164" s="122" t="s">
        <v>218</v>
      </c>
      <c r="D164" s="122" t="s">
        <v>491</v>
      </c>
      <c r="E164" s="123" t="s">
        <v>141</v>
      </c>
      <c r="F164" s="129"/>
      <c r="G164" s="126">
        <v>283654</v>
      </c>
      <c r="H164" s="128">
        <v>43344</v>
      </c>
      <c r="I164" s="124">
        <v>0.14000000000000001</v>
      </c>
      <c r="J164" s="124" t="s">
        <v>142</v>
      </c>
      <c r="K164" s="311">
        <v>283654</v>
      </c>
      <c r="L164" s="125">
        <v>0</v>
      </c>
      <c r="M164" s="126">
        <f t="shared" si="2"/>
        <v>0</v>
      </c>
      <c r="N164" s="127" t="s">
        <v>143</v>
      </c>
    </row>
    <row r="165" spans="1:14" s="149" customFormat="1" ht="60">
      <c r="A165" s="127">
        <v>155</v>
      </c>
      <c r="B165" s="312" t="s">
        <v>490</v>
      </c>
      <c r="C165" s="122" t="s">
        <v>218</v>
      </c>
      <c r="D165" s="122" t="s">
        <v>491</v>
      </c>
      <c r="E165" s="123" t="s">
        <v>257</v>
      </c>
      <c r="F165" s="129"/>
      <c r="G165" s="126">
        <v>115146</v>
      </c>
      <c r="H165" s="128">
        <v>43344</v>
      </c>
      <c r="I165" s="124">
        <v>0.14000000000000001</v>
      </c>
      <c r="J165" s="124" t="s">
        <v>142</v>
      </c>
      <c r="K165" s="311">
        <v>44186.49</v>
      </c>
      <c r="L165" s="125">
        <v>70959.509999999995</v>
      </c>
      <c r="M165" s="126">
        <f t="shared" si="2"/>
        <v>0</v>
      </c>
      <c r="N165" s="127" t="s">
        <v>143</v>
      </c>
    </row>
    <row r="166" spans="1:14" s="149" customFormat="1" ht="60">
      <c r="A166" s="127">
        <v>156</v>
      </c>
      <c r="B166" s="312" t="s">
        <v>492</v>
      </c>
      <c r="C166" s="122" t="s">
        <v>328</v>
      </c>
      <c r="D166" s="122" t="s">
        <v>326</v>
      </c>
      <c r="E166" s="123" t="s">
        <v>257</v>
      </c>
      <c r="F166" s="129"/>
      <c r="G166" s="126">
        <v>722700</v>
      </c>
      <c r="H166" s="128">
        <v>43333</v>
      </c>
      <c r="I166" s="124">
        <v>0.01</v>
      </c>
      <c r="J166" s="124" t="s">
        <v>142</v>
      </c>
      <c r="K166" s="311">
        <v>722700</v>
      </c>
      <c r="L166" s="125">
        <v>0</v>
      </c>
      <c r="M166" s="126">
        <f t="shared" si="2"/>
        <v>0</v>
      </c>
      <c r="N166" s="127" t="s">
        <v>143</v>
      </c>
    </row>
    <row r="167" spans="1:14" s="149" customFormat="1" ht="60">
      <c r="A167" s="127">
        <v>157</v>
      </c>
      <c r="B167" s="312" t="s">
        <v>493</v>
      </c>
      <c r="C167" s="122" t="s">
        <v>238</v>
      </c>
      <c r="D167" s="122" t="s">
        <v>494</v>
      </c>
      <c r="E167" s="123" t="s">
        <v>257</v>
      </c>
      <c r="F167" s="129"/>
      <c r="G167" s="126">
        <v>693400</v>
      </c>
      <c r="H167" s="128">
        <v>43287</v>
      </c>
      <c r="I167" s="124">
        <v>0.01</v>
      </c>
      <c r="J167" s="124" t="s">
        <v>142</v>
      </c>
      <c r="K167" s="311">
        <v>693400</v>
      </c>
      <c r="L167" s="125">
        <v>0</v>
      </c>
      <c r="M167" s="126">
        <f t="shared" si="2"/>
        <v>0</v>
      </c>
      <c r="N167" s="127" t="s">
        <v>143</v>
      </c>
    </row>
    <row r="168" spans="1:14" s="149" customFormat="1" ht="60">
      <c r="A168" s="127">
        <v>158</v>
      </c>
      <c r="B168" s="312" t="s">
        <v>495</v>
      </c>
      <c r="C168" s="122" t="s">
        <v>215</v>
      </c>
      <c r="D168" s="122" t="s">
        <v>482</v>
      </c>
      <c r="E168" s="123" t="s">
        <v>257</v>
      </c>
      <c r="F168" s="129"/>
      <c r="G168" s="126">
        <v>226007</v>
      </c>
      <c r="H168" s="128">
        <v>43462</v>
      </c>
      <c r="I168" s="124">
        <v>0.11</v>
      </c>
      <c r="J168" s="124" t="s">
        <v>142</v>
      </c>
      <c r="K168" s="311">
        <v>226007</v>
      </c>
      <c r="L168" s="125">
        <v>0</v>
      </c>
      <c r="M168" s="126">
        <f t="shared" si="2"/>
        <v>0</v>
      </c>
      <c r="N168" s="127" t="s">
        <v>143</v>
      </c>
    </row>
    <row r="169" spans="1:14" s="149" customFormat="1" ht="60">
      <c r="A169" s="127">
        <v>159</v>
      </c>
      <c r="B169" s="312" t="s">
        <v>496</v>
      </c>
      <c r="C169" s="122" t="s">
        <v>201</v>
      </c>
      <c r="D169" s="122" t="s">
        <v>482</v>
      </c>
      <c r="E169" s="123" t="s">
        <v>257</v>
      </c>
      <c r="F169" s="129"/>
      <c r="G169" s="126">
        <v>282000</v>
      </c>
      <c r="H169" s="128">
        <v>43420</v>
      </c>
      <c r="I169" s="124">
        <v>0.14000000000000001</v>
      </c>
      <c r="J169" s="124" t="s">
        <v>142</v>
      </c>
      <c r="K169" s="311">
        <v>282000</v>
      </c>
      <c r="L169" s="125">
        <v>0</v>
      </c>
      <c r="M169" s="126">
        <f t="shared" si="2"/>
        <v>0</v>
      </c>
      <c r="N169" s="127" t="s">
        <v>143</v>
      </c>
    </row>
    <row r="170" spans="1:14" s="149" customFormat="1" ht="60">
      <c r="A170" s="127">
        <v>160</v>
      </c>
      <c r="B170" s="312" t="s">
        <v>497</v>
      </c>
      <c r="C170" s="122" t="s">
        <v>207</v>
      </c>
      <c r="D170" s="122" t="s">
        <v>482</v>
      </c>
      <c r="E170" s="123" t="s">
        <v>257</v>
      </c>
      <c r="F170" s="129"/>
      <c r="G170" s="126">
        <v>348200</v>
      </c>
      <c r="H170" s="128">
        <v>43462</v>
      </c>
      <c r="I170" s="124">
        <v>0.08</v>
      </c>
      <c r="J170" s="124" t="s">
        <v>142</v>
      </c>
      <c r="K170" s="311">
        <v>348200</v>
      </c>
      <c r="L170" s="125">
        <v>0</v>
      </c>
      <c r="M170" s="126">
        <f t="shared" si="2"/>
        <v>0</v>
      </c>
      <c r="N170" s="127" t="s">
        <v>143</v>
      </c>
    </row>
    <row r="171" spans="1:14" s="149" customFormat="1" ht="60">
      <c r="A171" s="127" t="s">
        <v>142</v>
      </c>
      <c r="B171" s="127" t="s">
        <v>498</v>
      </c>
      <c r="C171" s="122" t="s">
        <v>499</v>
      </c>
      <c r="D171" s="122" t="s">
        <v>500</v>
      </c>
      <c r="E171" s="123" t="s">
        <v>141</v>
      </c>
      <c r="F171" s="129">
        <v>107400</v>
      </c>
      <c r="G171" s="126">
        <v>0</v>
      </c>
      <c r="H171" s="128" t="s">
        <v>142</v>
      </c>
      <c r="I171" s="124" t="s">
        <v>142</v>
      </c>
      <c r="J171" s="124" t="s">
        <v>142</v>
      </c>
      <c r="K171" s="311">
        <v>0</v>
      </c>
      <c r="L171" s="125">
        <v>0</v>
      </c>
      <c r="M171" s="126">
        <f t="shared" si="2"/>
        <v>0</v>
      </c>
      <c r="N171" s="127"/>
    </row>
    <row r="172" spans="1:14" s="149" customFormat="1" ht="60">
      <c r="A172" s="127" t="s">
        <v>142</v>
      </c>
      <c r="B172" s="127" t="s">
        <v>501</v>
      </c>
      <c r="C172" s="122" t="s">
        <v>400</v>
      </c>
      <c r="D172" s="122" t="s">
        <v>502</v>
      </c>
      <c r="E172" s="123" t="s">
        <v>141</v>
      </c>
      <c r="F172" s="129">
        <v>98900</v>
      </c>
      <c r="G172" s="126">
        <v>0</v>
      </c>
      <c r="H172" s="128" t="s">
        <v>142</v>
      </c>
      <c r="I172" s="124" t="s">
        <v>142</v>
      </c>
      <c r="J172" s="124" t="s">
        <v>142</v>
      </c>
      <c r="K172" s="311">
        <v>0</v>
      </c>
      <c r="L172" s="125">
        <v>0</v>
      </c>
      <c r="M172" s="126">
        <f t="shared" si="2"/>
        <v>0</v>
      </c>
      <c r="N172" s="127"/>
    </row>
    <row r="173" spans="1:14" s="149" customFormat="1" ht="60">
      <c r="A173" s="127" t="s">
        <v>142</v>
      </c>
      <c r="B173" s="127" t="s">
        <v>503</v>
      </c>
      <c r="C173" s="122" t="s">
        <v>186</v>
      </c>
      <c r="D173" s="122" t="s">
        <v>504</v>
      </c>
      <c r="E173" s="123" t="s">
        <v>141</v>
      </c>
      <c r="F173" s="129">
        <v>153600</v>
      </c>
      <c r="G173" s="126">
        <v>0</v>
      </c>
      <c r="H173" s="128" t="s">
        <v>142</v>
      </c>
      <c r="I173" s="124" t="s">
        <v>142</v>
      </c>
      <c r="J173" s="124" t="s">
        <v>142</v>
      </c>
      <c r="K173" s="311">
        <v>0</v>
      </c>
      <c r="L173" s="125">
        <v>0</v>
      </c>
      <c r="M173" s="126">
        <f t="shared" si="2"/>
        <v>0</v>
      </c>
      <c r="N173" s="127"/>
    </row>
    <row r="174" spans="1:14" s="149" customFormat="1" ht="60">
      <c r="A174" s="127" t="s">
        <v>142</v>
      </c>
      <c r="B174" s="127" t="s">
        <v>505</v>
      </c>
      <c r="C174" s="122" t="s">
        <v>186</v>
      </c>
      <c r="D174" s="122" t="s">
        <v>506</v>
      </c>
      <c r="E174" s="123" t="s">
        <v>141</v>
      </c>
      <c r="F174" s="129">
        <v>461600</v>
      </c>
      <c r="G174" s="126">
        <v>0</v>
      </c>
      <c r="H174" s="128" t="s">
        <v>142</v>
      </c>
      <c r="I174" s="124" t="s">
        <v>142</v>
      </c>
      <c r="J174" s="124" t="s">
        <v>142</v>
      </c>
      <c r="K174" s="311">
        <v>0</v>
      </c>
      <c r="L174" s="125">
        <v>0</v>
      </c>
      <c r="M174" s="126">
        <f t="shared" si="2"/>
        <v>0</v>
      </c>
      <c r="N174" s="127"/>
    </row>
    <row r="175" spans="1:14" s="149" customFormat="1" ht="60">
      <c r="A175" s="127" t="s">
        <v>142</v>
      </c>
      <c r="B175" s="127" t="s">
        <v>507</v>
      </c>
      <c r="C175" s="122" t="s">
        <v>508</v>
      </c>
      <c r="D175" s="122" t="s">
        <v>509</v>
      </c>
      <c r="E175" s="123" t="s">
        <v>141</v>
      </c>
      <c r="F175" s="129">
        <v>118700</v>
      </c>
      <c r="G175" s="126">
        <v>0</v>
      </c>
      <c r="H175" s="128" t="s">
        <v>142</v>
      </c>
      <c r="I175" s="124" t="s">
        <v>142</v>
      </c>
      <c r="J175" s="124" t="s">
        <v>142</v>
      </c>
      <c r="K175" s="311">
        <v>0</v>
      </c>
      <c r="L175" s="125">
        <v>0</v>
      </c>
      <c r="M175" s="126">
        <f t="shared" si="2"/>
        <v>0</v>
      </c>
      <c r="N175" s="127"/>
    </row>
    <row r="176" spans="1:14" s="149" customFormat="1" ht="60">
      <c r="A176" s="127" t="s">
        <v>142</v>
      </c>
      <c r="B176" s="127" t="s">
        <v>510</v>
      </c>
      <c r="C176" s="122" t="s">
        <v>328</v>
      </c>
      <c r="D176" s="122" t="s">
        <v>511</v>
      </c>
      <c r="E176" s="123" t="s">
        <v>141</v>
      </c>
      <c r="F176" s="129">
        <v>48700</v>
      </c>
      <c r="G176" s="126">
        <v>0</v>
      </c>
      <c r="H176" s="128" t="s">
        <v>142</v>
      </c>
      <c r="I176" s="124" t="s">
        <v>142</v>
      </c>
      <c r="J176" s="124" t="s">
        <v>142</v>
      </c>
      <c r="K176" s="311">
        <v>0</v>
      </c>
      <c r="L176" s="125">
        <v>0</v>
      </c>
      <c r="M176" s="126">
        <f t="shared" si="2"/>
        <v>0</v>
      </c>
      <c r="N176" s="127"/>
    </row>
    <row r="177" spans="1:14" s="149" customFormat="1" ht="60.75" thickBot="1">
      <c r="A177" s="127" t="s">
        <v>142</v>
      </c>
      <c r="B177" s="312" t="s">
        <v>512</v>
      </c>
      <c r="C177" s="122" t="s">
        <v>369</v>
      </c>
      <c r="D177" s="122" t="s">
        <v>513</v>
      </c>
      <c r="E177" s="123" t="s">
        <v>141</v>
      </c>
      <c r="F177" s="129">
        <v>103700</v>
      </c>
      <c r="G177" s="126">
        <v>0</v>
      </c>
      <c r="H177" s="128" t="s">
        <v>142</v>
      </c>
      <c r="I177" s="124" t="s">
        <v>142</v>
      </c>
      <c r="J177" s="124" t="s">
        <v>142</v>
      </c>
      <c r="K177" s="311">
        <v>0</v>
      </c>
      <c r="L177" s="125">
        <v>0</v>
      </c>
      <c r="M177" s="126">
        <f t="shared" si="2"/>
        <v>0</v>
      </c>
      <c r="N177" s="127"/>
    </row>
    <row r="178" spans="1:14" ht="16.5" thickBot="1">
      <c r="A178" s="131"/>
      <c r="B178" s="132"/>
      <c r="C178" s="133"/>
      <c r="D178" s="134"/>
      <c r="E178" s="135" t="s">
        <v>514</v>
      </c>
      <c r="F178" s="136">
        <f>SUM(F8:F177)</f>
        <v>56393900.620000005</v>
      </c>
      <c r="G178" s="137">
        <f>SUM(G8:G177)</f>
        <v>67380574.00000003</v>
      </c>
      <c r="H178" s="138"/>
      <c r="I178" s="139"/>
      <c r="J178" s="139"/>
      <c r="K178" s="137">
        <f>SUM(K8:K177)</f>
        <v>26890784.989999991</v>
      </c>
      <c r="L178" s="136">
        <f>SUM(L8:L177)</f>
        <v>40489789.010000028</v>
      </c>
      <c r="M178" s="136">
        <f>SUM(M8:M177)</f>
        <v>-1.2425971362972632E-10</v>
      </c>
      <c r="N178" s="140"/>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8" sqref="A8"/>
    </sheetView>
  </sheetViews>
  <sheetFormatPr defaultRowHeight="15"/>
  <cols>
    <col min="2" max="2" width="12.28515625" customWidth="1"/>
    <col min="3" max="3" width="20.7109375" customWidth="1"/>
    <col min="4" max="4" width="26.28515625" customWidth="1"/>
    <col min="5" max="5" width="13.42578125" customWidth="1"/>
    <col min="6" max="6" width="20.42578125" customWidth="1"/>
    <col min="7" max="7" width="19.28515625" customWidth="1"/>
    <col min="8" max="8" width="15" customWidth="1"/>
    <col min="9" max="9" width="14.42578125" customWidth="1"/>
    <col min="10" max="10" width="13.7109375" customWidth="1"/>
    <col min="11" max="11" width="16.42578125" customWidth="1"/>
    <col min="12" max="12" width="17" customWidth="1"/>
    <col min="13" max="13" width="17.5703125" customWidth="1"/>
  </cols>
  <sheetData>
    <row r="1" spans="1:14" ht="15.75">
      <c r="B1" s="141" t="s">
        <v>131</v>
      </c>
      <c r="C1" s="457" t="s">
        <v>582</v>
      </c>
      <c r="D1" s="458"/>
      <c r="E1" s="142"/>
      <c r="I1" s="41"/>
    </row>
    <row r="2" spans="1:14" ht="15.75">
      <c r="B2" s="141" t="s">
        <v>78</v>
      </c>
      <c r="C2" s="459">
        <v>43084</v>
      </c>
      <c r="D2" s="460"/>
      <c r="E2" s="143"/>
      <c r="G2" s="41"/>
      <c r="H2" s="144"/>
      <c r="I2" s="41"/>
      <c r="J2" s="41"/>
      <c r="M2" s="145">
        <v>43084</v>
      </c>
    </row>
    <row r="3" spans="1:14" ht="31.5">
      <c r="B3" s="141" t="s">
        <v>80</v>
      </c>
      <c r="C3" s="461" t="s">
        <v>583</v>
      </c>
      <c r="D3" s="462"/>
      <c r="E3" s="146"/>
    </row>
    <row r="4" spans="1:14" ht="15.75">
      <c r="B4" s="147"/>
      <c r="C4" s="148"/>
      <c r="D4" s="149"/>
      <c r="E4" s="149"/>
    </row>
    <row r="5" spans="1:14" ht="34.5" customHeight="1">
      <c r="A5" s="453" t="s">
        <v>134</v>
      </c>
      <c r="B5" s="456" t="s">
        <v>82</v>
      </c>
      <c r="C5" s="456" t="s">
        <v>83</v>
      </c>
      <c r="D5" s="456" t="s">
        <v>84</v>
      </c>
      <c r="E5" s="456" t="s">
        <v>85</v>
      </c>
      <c r="F5" s="456" t="s">
        <v>0</v>
      </c>
      <c r="G5" s="456" t="s">
        <v>1</v>
      </c>
      <c r="H5" s="439" t="s">
        <v>88</v>
      </c>
      <c r="I5" s="444" t="s">
        <v>89</v>
      </c>
      <c r="J5" s="442" t="s">
        <v>136</v>
      </c>
      <c r="K5" s="439" t="s">
        <v>2</v>
      </c>
      <c r="L5" s="439" t="s">
        <v>4</v>
      </c>
      <c r="M5" s="453" t="s">
        <v>6</v>
      </c>
      <c r="N5" s="453" t="s">
        <v>137</v>
      </c>
    </row>
    <row r="6" spans="1:14" ht="34.5" customHeight="1">
      <c r="A6" s="454"/>
      <c r="B6" s="456"/>
      <c r="C6" s="456"/>
      <c r="D6" s="456"/>
      <c r="E6" s="456"/>
      <c r="F6" s="456"/>
      <c r="G6" s="456"/>
      <c r="H6" s="440"/>
      <c r="I6" s="445"/>
      <c r="J6" s="442"/>
      <c r="K6" s="440"/>
      <c r="L6" s="440"/>
      <c r="M6" s="454"/>
      <c r="N6" s="454"/>
    </row>
    <row r="7" spans="1:14" ht="34.5" customHeight="1">
      <c r="A7" s="455"/>
      <c r="B7" s="456"/>
      <c r="C7" s="456"/>
      <c r="D7" s="456"/>
      <c r="E7" s="456"/>
      <c r="F7" s="456"/>
      <c r="G7" s="456"/>
      <c r="H7" s="441"/>
      <c r="I7" s="446"/>
      <c r="J7" s="442"/>
      <c r="K7" s="441"/>
      <c r="L7" s="441"/>
      <c r="M7" s="455"/>
      <c r="N7" s="455"/>
    </row>
    <row r="8" spans="1:14" s="149" customFormat="1" ht="106.5">
      <c r="A8" s="150">
        <v>1</v>
      </c>
      <c r="B8" s="150">
        <v>303</v>
      </c>
      <c r="C8" s="151" t="s">
        <v>584</v>
      </c>
      <c r="D8" s="151" t="s">
        <v>585</v>
      </c>
      <c r="E8" s="150" t="s">
        <v>586</v>
      </c>
      <c r="F8" s="152">
        <v>39856898</v>
      </c>
      <c r="G8" s="152">
        <v>39833856</v>
      </c>
      <c r="H8" s="153">
        <v>43481</v>
      </c>
      <c r="I8" s="154">
        <v>1</v>
      </c>
      <c r="J8" s="154">
        <v>0.35</v>
      </c>
      <c r="K8" s="155">
        <v>28759914</v>
      </c>
      <c r="L8" s="155">
        <v>8843078</v>
      </c>
      <c r="M8" s="152">
        <f>G8-K8-L8</f>
        <v>2230864</v>
      </c>
      <c r="N8" s="150" t="s">
        <v>143</v>
      </c>
    </row>
    <row r="9" spans="1:14" s="149" customFormat="1" ht="60">
      <c r="A9" s="150">
        <v>2</v>
      </c>
      <c r="B9" s="150">
        <v>303</v>
      </c>
      <c r="C9" s="157" t="s">
        <v>587</v>
      </c>
      <c r="D9" s="157" t="s">
        <v>588</v>
      </c>
      <c r="E9" s="150" t="s">
        <v>586</v>
      </c>
      <c r="F9" s="158">
        <v>15000000</v>
      </c>
      <c r="G9" s="158">
        <v>15000000</v>
      </c>
      <c r="H9" s="153">
        <v>43830</v>
      </c>
      <c r="I9" s="154">
        <v>1</v>
      </c>
      <c r="J9" s="154">
        <v>0.4</v>
      </c>
      <c r="K9" s="161">
        <v>8768512</v>
      </c>
      <c r="L9" s="161">
        <v>5447426</v>
      </c>
      <c r="M9" s="152">
        <f t="shared" ref="M9:M33" si="0">G9-K9-L9</f>
        <v>784062</v>
      </c>
      <c r="N9" s="150" t="s">
        <v>143</v>
      </c>
    </row>
    <row r="10" spans="1:14" s="149" customFormat="1" ht="45.75">
      <c r="A10" s="150">
        <v>3</v>
      </c>
      <c r="B10" s="150">
        <v>303</v>
      </c>
      <c r="C10" s="157" t="s">
        <v>589</v>
      </c>
      <c r="D10" s="157" t="s">
        <v>590</v>
      </c>
      <c r="E10" s="150" t="s">
        <v>586</v>
      </c>
      <c r="F10" s="158">
        <v>16732708</v>
      </c>
      <c r="G10" s="158">
        <v>16544412</v>
      </c>
      <c r="H10" s="153">
        <v>43830</v>
      </c>
      <c r="I10" s="154">
        <v>1</v>
      </c>
      <c r="J10" s="154">
        <v>0.36</v>
      </c>
      <c r="K10" s="161">
        <v>8758631</v>
      </c>
      <c r="L10" s="161">
        <v>7457112</v>
      </c>
      <c r="M10" s="152">
        <f t="shared" si="0"/>
        <v>328669</v>
      </c>
      <c r="N10" s="150" t="s">
        <v>143</v>
      </c>
    </row>
    <row r="11" spans="1:14" s="149" customFormat="1" ht="45.75">
      <c r="A11" s="150">
        <v>4</v>
      </c>
      <c r="B11" s="150">
        <v>303</v>
      </c>
      <c r="C11" s="157" t="s">
        <v>591</v>
      </c>
      <c r="D11" s="157" t="s">
        <v>592</v>
      </c>
      <c r="E11" s="150" t="s">
        <v>586</v>
      </c>
      <c r="F11" s="158">
        <v>13672475</v>
      </c>
      <c r="G11" s="158">
        <v>13518617</v>
      </c>
      <c r="H11" s="153">
        <v>43830</v>
      </c>
      <c r="I11" s="154">
        <v>1</v>
      </c>
      <c r="J11" s="154">
        <v>0.36</v>
      </c>
      <c r="K11" s="161">
        <v>8369054</v>
      </c>
      <c r="L11" s="161">
        <v>5014216</v>
      </c>
      <c r="M11" s="152">
        <f t="shared" si="0"/>
        <v>135347</v>
      </c>
      <c r="N11" s="150" t="s">
        <v>143</v>
      </c>
    </row>
    <row r="12" spans="1:14" s="149" customFormat="1" ht="320.25">
      <c r="A12" s="150">
        <v>5</v>
      </c>
      <c r="B12" s="150">
        <v>303</v>
      </c>
      <c r="C12" s="162" t="s">
        <v>593</v>
      </c>
      <c r="D12" s="157" t="s">
        <v>594</v>
      </c>
      <c r="E12" s="150" t="s">
        <v>586</v>
      </c>
      <c r="F12" s="158">
        <v>14478300</v>
      </c>
      <c r="G12" s="158">
        <v>14300513</v>
      </c>
      <c r="H12" s="153">
        <v>43889</v>
      </c>
      <c r="I12" s="154">
        <v>1</v>
      </c>
      <c r="J12" s="154">
        <v>0.28000000000000003</v>
      </c>
      <c r="K12" s="161">
        <v>10820913</v>
      </c>
      <c r="L12" s="161">
        <v>1591906</v>
      </c>
      <c r="M12" s="152">
        <f t="shared" si="0"/>
        <v>1887694</v>
      </c>
      <c r="N12" s="150" t="s">
        <v>143</v>
      </c>
    </row>
    <row r="13" spans="1:14" s="149" customFormat="1" ht="45.75">
      <c r="A13" s="150">
        <v>6</v>
      </c>
      <c r="B13" s="150">
        <v>303</v>
      </c>
      <c r="C13" s="157" t="s">
        <v>595</v>
      </c>
      <c r="D13" s="157" t="s">
        <v>596</v>
      </c>
      <c r="E13" s="150" t="s">
        <v>586</v>
      </c>
      <c r="F13" s="158">
        <v>7621589</v>
      </c>
      <c r="G13" s="158">
        <v>8537100</v>
      </c>
      <c r="H13" s="153">
        <v>43889</v>
      </c>
      <c r="I13" s="154">
        <v>0.9</v>
      </c>
      <c r="J13" s="154">
        <v>0</v>
      </c>
      <c r="K13" s="161">
        <v>6308121</v>
      </c>
      <c r="L13" s="161">
        <v>619666</v>
      </c>
      <c r="M13" s="163">
        <f t="shared" si="0"/>
        <v>1609313</v>
      </c>
      <c r="N13" s="150" t="s">
        <v>143</v>
      </c>
    </row>
    <row r="14" spans="1:14" s="149" customFormat="1" ht="30">
      <c r="A14" s="150">
        <v>7</v>
      </c>
      <c r="B14" s="150">
        <v>303</v>
      </c>
      <c r="C14" s="157" t="s">
        <v>597</v>
      </c>
      <c r="D14" s="157" t="s">
        <v>598</v>
      </c>
      <c r="E14" s="150" t="s">
        <v>586</v>
      </c>
      <c r="F14" s="158">
        <v>2514334</v>
      </c>
      <c r="G14" s="158">
        <v>2486402</v>
      </c>
      <c r="H14" s="153">
        <v>42756</v>
      </c>
      <c r="I14" s="154">
        <v>1</v>
      </c>
      <c r="J14" s="154">
        <v>0.28000000000000003</v>
      </c>
      <c r="K14" s="161">
        <v>922123</v>
      </c>
      <c r="L14" s="161">
        <v>815781</v>
      </c>
      <c r="M14" s="152">
        <f t="shared" si="0"/>
        <v>748498</v>
      </c>
      <c r="N14" s="150" t="s">
        <v>599</v>
      </c>
    </row>
    <row r="15" spans="1:14" s="149" customFormat="1" ht="132.75">
      <c r="A15" s="150">
        <v>8</v>
      </c>
      <c r="B15" s="150">
        <v>303</v>
      </c>
      <c r="C15" s="157" t="s">
        <v>600</v>
      </c>
      <c r="D15" s="157" t="s">
        <v>601</v>
      </c>
      <c r="E15" s="150" t="s">
        <v>586</v>
      </c>
      <c r="F15" s="158">
        <v>16991013</v>
      </c>
      <c r="G15" s="158">
        <v>16799811</v>
      </c>
      <c r="H15" s="153">
        <v>43069</v>
      </c>
      <c r="I15" s="154">
        <v>1</v>
      </c>
      <c r="J15" s="154">
        <v>0.2</v>
      </c>
      <c r="K15" s="161">
        <v>12519707</v>
      </c>
      <c r="L15" s="161">
        <v>3474115</v>
      </c>
      <c r="M15" s="152">
        <f t="shared" si="0"/>
        <v>805989</v>
      </c>
      <c r="N15" s="150" t="s">
        <v>143</v>
      </c>
    </row>
    <row r="16" spans="1:14" s="149" customFormat="1" ht="303.75">
      <c r="A16" s="150">
        <v>9</v>
      </c>
      <c r="B16" s="202">
        <v>303</v>
      </c>
      <c r="C16" s="157" t="s">
        <v>602</v>
      </c>
      <c r="D16" s="157" t="s">
        <v>603</v>
      </c>
      <c r="E16" s="150" t="s">
        <v>586</v>
      </c>
      <c r="F16" s="158">
        <v>16791914</v>
      </c>
      <c r="G16" s="158">
        <v>16602952</v>
      </c>
      <c r="H16" s="153">
        <v>43921</v>
      </c>
      <c r="I16" s="154">
        <v>0.9</v>
      </c>
      <c r="J16" s="154">
        <v>0.1</v>
      </c>
      <c r="K16" s="161">
        <v>14646824</v>
      </c>
      <c r="L16" s="161">
        <v>440987</v>
      </c>
      <c r="M16" s="152">
        <f t="shared" si="0"/>
        <v>1515141</v>
      </c>
      <c r="N16" s="150" t="s">
        <v>143</v>
      </c>
    </row>
    <row r="17" spans="1:14" s="149" customFormat="1" ht="90">
      <c r="A17" s="150">
        <v>10</v>
      </c>
      <c r="B17" s="150">
        <v>303</v>
      </c>
      <c r="C17" s="157" t="s">
        <v>604</v>
      </c>
      <c r="D17" s="162" t="s">
        <v>605</v>
      </c>
      <c r="E17" s="150" t="s">
        <v>586</v>
      </c>
      <c r="F17" s="313">
        <v>16157401</v>
      </c>
      <c r="G17" s="158">
        <v>15975579</v>
      </c>
      <c r="H17" s="153">
        <v>43861</v>
      </c>
      <c r="I17" s="154">
        <v>1</v>
      </c>
      <c r="J17" s="154">
        <v>0.15</v>
      </c>
      <c r="K17" s="161">
        <v>12299929</v>
      </c>
      <c r="L17" s="161">
        <v>1306813</v>
      </c>
      <c r="M17" s="152">
        <f t="shared" si="0"/>
        <v>2368837</v>
      </c>
      <c r="N17" s="150" t="s">
        <v>143</v>
      </c>
    </row>
    <row r="18" spans="1:14" s="149" customFormat="1" ht="183">
      <c r="A18" s="150">
        <v>11</v>
      </c>
      <c r="B18" s="150">
        <v>303</v>
      </c>
      <c r="C18" s="166" t="s">
        <v>606</v>
      </c>
      <c r="D18" s="157" t="s">
        <v>607</v>
      </c>
      <c r="E18" s="150" t="s">
        <v>586</v>
      </c>
      <c r="F18" s="313">
        <v>14960012</v>
      </c>
      <c r="G18" s="314">
        <v>14896071</v>
      </c>
      <c r="H18" s="153">
        <v>43921</v>
      </c>
      <c r="I18" s="154">
        <v>0.92</v>
      </c>
      <c r="J18" s="154">
        <v>0</v>
      </c>
      <c r="K18" s="161">
        <v>12860230</v>
      </c>
      <c r="L18" s="161">
        <v>740946</v>
      </c>
      <c r="M18" s="152">
        <f t="shared" si="0"/>
        <v>1294895</v>
      </c>
      <c r="N18" s="150" t="s">
        <v>143</v>
      </c>
    </row>
    <row r="19" spans="1:14" s="149" customFormat="1" ht="45.75">
      <c r="A19" s="150">
        <v>12</v>
      </c>
      <c r="B19" s="150">
        <v>303</v>
      </c>
      <c r="C19" s="166" t="s">
        <v>608</v>
      </c>
      <c r="D19" s="167" t="s">
        <v>609</v>
      </c>
      <c r="E19" s="150" t="s">
        <v>586</v>
      </c>
      <c r="F19" s="313">
        <v>1507350</v>
      </c>
      <c r="G19" s="314">
        <v>1401776</v>
      </c>
      <c r="H19" s="153">
        <v>42767</v>
      </c>
      <c r="I19" s="154">
        <v>1</v>
      </c>
      <c r="J19" s="154">
        <v>0.99</v>
      </c>
      <c r="K19" s="161">
        <v>6515</v>
      </c>
      <c r="L19" s="161">
        <v>1377782</v>
      </c>
      <c r="M19" s="152">
        <f t="shared" si="0"/>
        <v>17479</v>
      </c>
      <c r="N19" s="150" t="s">
        <v>143</v>
      </c>
    </row>
    <row r="20" spans="1:14" s="149" customFormat="1" ht="180.75" thickBot="1">
      <c r="A20" s="150">
        <v>13</v>
      </c>
      <c r="B20" s="150">
        <v>303</v>
      </c>
      <c r="C20" s="166" t="s">
        <v>610</v>
      </c>
      <c r="D20" s="167" t="s">
        <v>611</v>
      </c>
      <c r="E20" s="150" t="s">
        <v>586</v>
      </c>
      <c r="F20" s="313">
        <v>0</v>
      </c>
      <c r="G20" s="314">
        <v>1840000</v>
      </c>
      <c r="H20" s="153">
        <v>42740</v>
      </c>
      <c r="I20" s="154">
        <v>0.19</v>
      </c>
      <c r="J20" s="154">
        <v>0</v>
      </c>
      <c r="K20" s="161">
        <v>0</v>
      </c>
      <c r="L20" s="161">
        <v>689450</v>
      </c>
      <c r="M20" s="152">
        <f t="shared" si="0"/>
        <v>1150550</v>
      </c>
      <c r="N20" s="150" t="s">
        <v>143</v>
      </c>
    </row>
    <row r="21" spans="1:14" s="149" customFormat="1" ht="409.6" thickTop="1" thickBot="1">
      <c r="A21" s="150">
        <v>14</v>
      </c>
      <c r="B21" s="202">
        <v>303</v>
      </c>
      <c r="C21" s="157" t="s">
        <v>612</v>
      </c>
      <c r="D21" s="168" t="s">
        <v>613</v>
      </c>
      <c r="E21" s="150" t="s">
        <v>586</v>
      </c>
      <c r="F21" s="169">
        <v>9886584</v>
      </c>
      <c r="G21" s="158">
        <v>9775736</v>
      </c>
      <c r="H21" s="315" t="s">
        <v>614</v>
      </c>
      <c r="I21" s="154">
        <v>0.65</v>
      </c>
      <c r="J21" s="154">
        <v>0</v>
      </c>
      <c r="K21" s="161">
        <v>8770254</v>
      </c>
      <c r="L21" s="161">
        <v>658778</v>
      </c>
      <c r="M21" s="152">
        <f t="shared" si="0"/>
        <v>346704</v>
      </c>
      <c r="N21" s="157" t="s">
        <v>143</v>
      </c>
    </row>
    <row r="22" spans="1:14" s="149" customFormat="1" ht="349.5" thickTop="1">
      <c r="A22" s="150">
        <v>15</v>
      </c>
      <c r="B22" s="150">
        <v>303</v>
      </c>
      <c r="C22" s="157" t="s">
        <v>615</v>
      </c>
      <c r="D22" s="168" t="s">
        <v>616</v>
      </c>
      <c r="E22" s="150" t="s">
        <v>586</v>
      </c>
      <c r="F22" s="313">
        <v>8131095</v>
      </c>
      <c r="G22" s="169">
        <v>8039595</v>
      </c>
      <c r="H22" s="316" t="s">
        <v>614</v>
      </c>
      <c r="I22" s="154">
        <v>0.4</v>
      </c>
      <c r="J22" s="154">
        <v>0</v>
      </c>
      <c r="K22" s="161">
        <v>6447994</v>
      </c>
      <c r="L22" s="161">
        <v>308520</v>
      </c>
      <c r="M22" s="152">
        <f t="shared" si="0"/>
        <v>1283081</v>
      </c>
      <c r="N22" s="157" t="s">
        <v>143</v>
      </c>
    </row>
    <row r="23" spans="1:14" s="149" customFormat="1" ht="75">
      <c r="A23" s="150">
        <v>16</v>
      </c>
      <c r="B23" s="150">
        <v>303</v>
      </c>
      <c r="C23" s="157" t="s">
        <v>617</v>
      </c>
      <c r="D23" s="170" t="s">
        <v>618</v>
      </c>
      <c r="E23" s="171" t="s">
        <v>586</v>
      </c>
      <c r="F23" s="317">
        <v>14152211</v>
      </c>
      <c r="G23" s="318">
        <v>13992954</v>
      </c>
      <c r="H23" s="153">
        <v>43631</v>
      </c>
      <c r="I23" s="154">
        <v>0.6</v>
      </c>
      <c r="J23" s="154">
        <v>0</v>
      </c>
      <c r="K23" s="161">
        <v>12392255</v>
      </c>
      <c r="L23" s="161">
        <v>90845</v>
      </c>
      <c r="M23" s="152">
        <f t="shared" si="0"/>
        <v>1509854</v>
      </c>
      <c r="N23" s="319" t="s">
        <v>143</v>
      </c>
    </row>
    <row r="24" spans="1:14" s="149" customFormat="1" ht="90.75">
      <c r="A24" s="150">
        <v>17</v>
      </c>
      <c r="B24" s="150">
        <v>303</v>
      </c>
      <c r="C24" s="157" t="s">
        <v>619</v>
      </c>
      <c r="D24" s="170" t="s">
        <v>620</v>
      </c>
      <c r="E24" s="171" t="s">
        <v>586</v>
      </c>
      <c r="F24" s="317">
        <v>5385467</v>
      </c>
      <c r="G24" s="318">
        <v>5324864</v>
      </c>
      <c r="H24" s="153">
        <v>43845</v>
      </c>
      <c r="I24" s="154">
        <v>0.65</v>
      </c>
      <c r="J24" s="154">
        <v>0</v>
      </c>
      <c r="K24" s="161">
        <v>4655948</v>
      </c>
      <c r="L24" s="161">
        <v>480102</v>
      </c>
      <c r="M24" s="174">
        <f t="shared" si="0"/>
        <v>188814</v>
      </c>
      <c r="N24" s="319" t="s">
        <v>143</v>
      </c>
    </row>
    <row r="25" spans="1:14" s="149" customFormat="1" ht="30.75">
      <c r="A25" s="150">
        <v>18</v>
      </c>
      <c r="B25" s="150">
        <v>303</v>
      </c>
      <c r="C25" s="166" t="s">
        <v>621</v>
      </c>
      <c r="D25" s="157" t="s">
        <v>622</v>
      </c>
      <c r="E25" s="171" t="s">
        <v>586</v>
      </c>
      <c r="F25" s="317">
        <v>42280</v>
      </c>
      <c r="G25" s="317">
        <v>41804</v>
      </c>
      <c r="H25" s="153">
        <v>42613</v>
      </c>
      <c r="I25" s="154">
        <v>1</v>
      </c>
      <c r="J25" s="154">
        <v>1</v>
      </c>
      <c r="K25" s="161">
        <v>0</v>
      </c>
      <c r="L25" s="161">
        <v>41799</v>
      </c>
      <c r="M25" s="174">
        <f t="shared" si="0"/>
        <v>5</v>
      </c>
      <c r="N25" s="319" t="s">
        <v>143</v>
      </c>
    </row>
    <row r="26" spans="1:14" s="149" customFormat="1" ht="45.75">
      <c r="A26" s="150">
        <v>19</v>
      </c>
      <c r="B26" s="150">
        <v>303</v>
      </c>
      <c r="C26" s="157" t="s">
        <v>623</v>
      </c>
      <c r="D26" s="170" t="s">
        <v>624</v>
      </c>
      <c r="E26" s="171" t="s">
        <v>586</v>
      </c>
      <c r="F26" s="317">
        <v>830694</v>
      </c>
      <c r="G26" s="318">
        <v>830694</v>
      </c>
      <c r="H26" s="153">
        <v>43555</v>
      </c>
      <c r="I26" s="154">
        <v>0</v>
      </c>
      <c r="J26" s="154">
        <v>0</v>
      </c>
      <c r="K26" s="161">
        <v>0</v>
      </c>
      <c r="L26" s="161">
        <v>0</v>
      </c>
      <c r="M26" s="174">
        <f t="shared" si="0"/>
        <v>830694</v>
      </c>
      <c r="N26" s="319"/>
    </row>
    <row r="27" spans="1:14" s="149" customFormat="1" ht="45.75">
      <c r="A27" s="150">
        <v>20</v>
      </c>
      <c r="B27" s="150">
        <v>303</v>
      </c>
      <c r="C27" s="157" t="s">
        <v>625</v>
      </c>
      <c r="D27" s="170" t="s">
        <v>626</v>
      </c>
      <c r="E27" s="171" t="s">
        <v>586</v>
      </c>
      <c r="F27" s="317">
        <v>814169</v>
      </c>
      <c r="G27" s="318">
        <v>814169</v>
      </c>
      <c r="H27" s="153">
        <v>43524</v>
      </c>
      <c r="I27" s="154">
        <v>0.1</v>
      </c>
      <c r="J27" s="154">
        <v>0</v>
      </c>
      <c r="K27" s="161">
        <v>0</v>
      </c>
      <c r="L27" s="161">
        <v>48135</v>
      </c>
      <c r="M27" s="174">
        <f t="shared" si="0"/>
        <v>766034</v>
      </c>
      <c r="N27" s="319"/>
    </row>
    <row r="28" spans="1:14" s="149" customFormat="1" ht="45">
      <c r="A28" s="150">
        <v>21</v>
      </c>
      <c r="B28" s="150">
        <v>303</v>
      </c>
      <c r="C28" s="157" t="s">
        <v>627</v>
      </c>
      <c r="D28" s="170" t="s">
        <v>628</v>
      </c>
      <c r="E28" s="171" t="s">
        <v>586</v>
      </c>
      <c r="F28" s="317">
        <v>112306</v>
      </c>
      <c r="G28" s="318">
        <v>112306</v>
      </c>
      <c r="H28" s="153">
        <v>43524</v>
      </c>
      <c r="I28" s="154">
        <v>0</v>
      </c>
      <c r="J28" s="154">
        <v>0</v>
      </c>
      <c r="K28" s="161">
        <v>0</v>
      </c>
      <c r="L28" s="161">
        <v>0</v>
      </c>
      <c r="M28" s="174">
        <f t="shared" si="0"/>
        <v>112306</v>
      </c>
      <c r="N28" s="319"/>
    </row>
    <row r="29" spans="1:14" s="149" customFormat="1" ht="45.75">
      <c r="A29" s="150">
        <v>22</v>
      </c>
      <c r="B29" s="150">
        <v>303</v>
      </c>
      <c r="C29" s="157" t="s">
        <v>629</v>
      </c>
      <c r="D29" s="170" t="s">
        <v>630</v>
      </c>
      <c r="E29" s="171" t="s">
        <v>586</v>
      </c>
      <c r="F29" s="317">
        <v>209777</v>
      </c>
      <c r="G29" s="318">
        <v>209777</v>
      </c>
      <c r="H29" s="153">
        <v>43555</v>
      </c>
      <c r="I29" s="154">
        <v>0</v>
      </c>
      <c r="J29" s="154">
        <v>0</v>
      </c>
      <c r="K29" s="161">
        <v>0</v>
      </c>
      <c r="L29" s="161">
        <v>0</v>
      </c>
      <c r="M29" s="174">
        <f t="shared" si="0"/>
        <v>209777</v>
      </c>
      <c r="N29" s="319"/>
    </row>
    <row r="30" spans="1:14" s="149" customFormat="1" ht="60.75">
      <c r="A30" s="150">
        <v>23</v>
      </c>
      <c r="B30" s="150">
        <v>303</v>
      </c>
      <c r="C30" s="157" t="s">
        <v>631</v>
      </c>
      <c r="D30" s="170" t="s">
        <v>632</v>
      </c>
      <c r="E30" s="171" t="s">
        <v>586</v>
      </c>
      <c r="F30" s="317">
        <v>1001586</v>
      </c>
      <c r="G30" s="318">
        <v>62652</v>
      </c>
      <c r="H30" s="153">
        <v>43861</v>
      </c>
      <c r="I30" s="154">
        <v>0</v>
      </c>
      <c r="J30" s="154">
        <v>0</v>
      </c>
      <c r="K30" s="161">
        <v>56002</v>
      </c>
      <c r="L30" s="161">
        <v>0</v>
      </c>
      <c r="M30" s="174">
        <f t="shared" si="0"/>
        <v>6650</v>
      </c>
      <c r="N30" s="319" t="s">
        <v>143</v>
      </c>
    </row>
    <row r="31" spans="1:14" s="149" customFormat="1" ht="45">
      <c r="A31" s="150">
        <v>24</v>
      </c>
      <c r="B31" s="150">
        <v>303</v>
      </c>
      <c r="C31" s="157" t="s">
        <v>633</v>
      </c>
      <c r="D31" s="170" t="s">
        <v>634</v>
      </c>
      <c r="E31" s="171" t="s">
        <v>586</v>
      </c>
      <c r="F31" s="317">
        <v>306185</v>
      </c>
      <c r="G31" s="318">
        <v>214708</v>
      </c>
      <c r="H31" s="153">
        <v>43861</v>
      </c>
      <c r="I31" s="154">
        <v>0</v>
      </c>
      <c r="J31" s="154">
        <v>0</v>
      </c>
      <c r="K31" s="161">
        <v>0</v>
      </c>
      <c r="L31" s="161">
        <v>0</v>
      </c>
      <c r="M31" s="174">
        <f t="shared" si="0"/>
        <v>214708</v>
      </c>
      <c r="N31" s="319" t="s">
        <v>143</v>
      </c>
    </row>
    <row r="32" spans="1:14" ht="15.75" thickBot="1">
      <c r="A32" s="156"/>
      <c r="B32" s="156"/>
      <c r="C32" s="166"/>
      <c r="D32" s="175"/>
      <c r="E32" s="171"/>
      <c r="F32" s="172"/>
      <c r="G32" s="172"/>
      <c r="H32" s="159"/>
      <c r="I32" s="154"/>
      <c r="J32" s="154"/>
      <c r="K32" s="160"/>
      <c r="L32" s="160"/>
      <c r="M32" s="174"/>
      <c r="N32" s="173"/>
    </row>
    <row r="33" spans="1:14" ht="16.5" thickBot="1">
      <c r="A33" s="41"/>
      <c r="B33" s="42"/>
      <c r="C33" s="176"/>
      <c r="D33" s="176"/>
      <c r="E33" s="177" t="s">
        <v>514</v>
      </c>
      <c r="F33" s="178">
        <f>SUM(F8:F32)</f>
        <v>217156348</v>
      </c>
      <c r="G33" s="179">
        <f>SUM(G8:G32)</f>
        <v>217156348</v>
      </c>
      <c r="H33" s="180"/>
      <c r="I33" s="181"/>
      <c r="J33" s="181"/>
      <c r="K33" s="178">
        <f>SUM(K8:K32)</f>
        <v>157362926</v>
      </c>
      <c r="L33" s="179">
        <f>SUM(L8:L32)</f>
        <v>39447457</v>
      </c>
      <c r="M33" s="182">
        <f t="shared" si="0"/>
        <v>20345965</v>
      </c>
      <c r="N33" s="180"/>
    </row>
    <row r="34" spans="1:14" ht="15.75">
      <c r="A34" s="41"/>
      <c r="B34" s="42"/>
      <c r="C34" s="183"/>
      <c r="D34" s="183"/>
      <c r="E34" s="183"/>
      <c r="F34" s="183"/>
      <c r="G34" s="183"/>
      <c r="H34" s="183"/>
      <c r="I34" s="183"/>
      <c r="J34" s="183"/>
      <c r="K34" s="183"/>
      <c r="L34" s="41"/>
      <c r="M34" s="41"/>
      <c r="N34" s="41"/>
    </row>
    <row r="35" spans="1:14">
      <c r="A35" s="41"/>
      <c r="B35" s="42"/>
      <c r="C35" s="184"/>
      <c r="D35" s="184"/>
      <c r="E35" s="184"/>
      <c r="F35" s="184"/>
      <c r="G35" s="184"/>
      <c r="H35" s="184"/>
      <c r="I35" s="184"/>
      <c r="J35" s="184"/>
      <c r="K35" s="41"/>
      <c r="L35" s="41"/>
      <c r="M35" s="41"/>
      <c r="N35" s="41"/>
    </row>
    <row r="36" spans="1:14">
      <c r="A36" s="41"/>
      <c r="B36" s="42"/>
      <c r="C36" s="184"/>
      <c r="D36" s="184"/>
      <c r="E36" s="184"/>
      <c r="F36" s="184"/>
      <c r="G36" s="184"/>
      <c r="H36" s="184"/>
      <c r="I36" s="184"/>
      <c r="J36" s="184"/>
      <c r="K36" s="185">
        <f>K33+L33+M33</f>
        <v>217156348</v>
      </c>
      <c r="L36" s="41"/>
      <c r="M36" s="41"/>
      <c r="N36" s="41"/>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6"/>
  <sheetViews>
    <sheetView topLeftCell="A19" workbookViewId="0">
      <selection activeCell="K4" sqref="K1:K1048576"/>
    </sheetView>
  </sheetViews>
  <sheetFormatPr defaultRowHeight="15"/>
  <cols>
    <col min="9" max="9" width="15.85546875" customWidth="1"/>
    <col min="10" max="10" width="13.7109375" customWidth="1"/>
    <col min="11" max="11" width="13.85546875" customWidth="1"/>
    <col min="12" max="12" width="12" customWidth="1"/>
    <col min="13" max="13" width="16.42578125" customWidth="1"/>
    <col min="14" max="14" width="17.85546875" customWidth="1"/>
    <col min="15" max="15" width="14.85546875" customWidth="1"/>
    <col min="16" max="16" width="14.140625" customWidth="1"/>
    <col min="17" max="17" width="16" customWidth="1"/>
    <col min="18" max="18" width="16.28515625" customWidth="1"/>
    <col min="19" max="19" width="14.42578125" customWidth="1"/>
    <col min="20" max="20" width="14.28515625" customWidth="1"/>
  </cols>
  <sheetData>
    <row r="1" spans="1:21" ht="30.75">
      <c r="A1" s="48"/>
      <c r="B1" s="49"/>
      <c r="C1" s="50"/>
      <c r="D1" s="50"/>
      <c r="E1" s="50"/>
      <c r="F1" s="50"/>
      <c r="G1" s="50"/>
      <c r="H1" s="50"/>
      <c r="I1" s="51" t="s">
        <v>74</v>
      </c>
      <c r="J1" s="469" t="s">
        <v>75</v>
      </c>
      <c r="K1" s="470"/>
      <c r="L1" s="471" t="s">
        <v>76</v>
      </c>
      <c r="M1" s="473"/>
      <c r="N1" s="52"/>
      <c r="O1" s="53"/>
      <c r="P1" s="54"/>
      <c r="Q1" s="54"/>
      <c r="R1" s="55"/>
      <c r="S1" s="55"/>
      <c r="T1" s="55"/>
      <c r="U1" s="56" t="s">
        <v>77</v>
      </c>
    </row>
    <row r="2" spans="1:21" ht="15.75">
      <c r="A2" s="57"/>
      <c r="B2" s="58"/>
      <c r="C2" s="59"/>
      <c r="D2" s="59"/>
      <c r="E2" s="59"/>
      <c r="F2" s="59"/>
      <c r="G2" s="59"/>
      <c r="H2" s="59"/>
      <c r="I2" s="60" t="s">
        <v>78</v>
      </c>
      <c r="J2" s="475">
        <v>43074</v>
      </c>
      <c r="K2" s="475"/>
      <c r="L2" s="472"/>
      <c r="M2" s="474"/>
      <c r="N2" s="61"/>
      <c r="O2" s="58"/>
      <c r="P2" s="58"/>
      <c r="Q2" s="62"/>
      <c r="R2" s="63"/>
      <c r="S2" s="63"/>
      <c r="T2" s="63"/>
      <c r="U2" s="64"/>
    </row>
    <row r="3" spans="1:21" ht="15.75">
      <c r="A3" s="463" t="s">
        <v>79</v>
      </c>
      <c r="B3" s="464"/>
      <c r="C3" s="464"/>
      <c r="D3" s="464"/>
      <c r="E3" s="464"/>
      <c r="F3" s="464"/>
      <c r="G3" s="464"/>
      <c r="H3" s="464"/>
      <c r="I3" s="60" t="s">
        <v>80</v>
      </c>
      <c r="J3" s="465" t="s">
        <v>81</v>
      </c>
      <c r="K3" s="465"/>
      <c r="L3" s="472"/>
      <c r="M3" s="474"/>
      <c r="N3" s="61"/>
      <c r="O3" s="58"/>
      <c r="P3" s="58"/>
      <c r="Q3" s="62"/>
      <c r="R3" s="63"/>
      <c r="S3" s="63"/>
      <c r="T3" s="63"/>
      <c r="U3" s="64"/>
    </row>
    <row r="4" spans="1:21" ht="15.75">
      <c r="A4" s="65"/>
      <c r="B4" s="66"/>
      <c r="C4" s="67"/>
      <c r="D4" s="67"/>
      <c r="E4" s="67"/>
      <c r="F4" s="67"/>
      <c r="G4" s="67"/>
      <c r="H4" s="67"/>
      <c r="I4" s="68"/>
      <c r="J4" s="69"/>
      <c r="K4" s="70"/>
      <c r="L4" s="71"/>
      <c r="M4" s="72"/>
      <c r="N4" s="73"/>
      <c r="O4" s="74"/>
      <c r="P4" s="66"/>
      <c r="Q4" s="75"/>
      <c r="R4" s="76"/>
      <c r="S4" s="76"/>
      <c r="T4" s="76"/>
      <c r="U4" s="70"/>
    </row>
    <row r="5" spans="1:21" ht="15.75">
      <c r="A5" s="77"/>
      <c r="B5" s="78"/>
      <c r="C5" s="78"/>
      <c r="D5" s="78"/>
      <c r="E5" s="78"/>
      <c r="F5" s="78"/>
      <c r="G5" s="78"/>
      <c r="H5" s="78"/>
      <c r="I5" s="476" t="s">
        <v>82</v>
      </c>
      <c r="J5" s="478" t="s">
        <v>83</v>
      </c>
      <c r="K5" s="480" t="s">
        <v>84</v>
      </c>
      <c r="L5" s="482" t="s">
        <v>85</v>
      </c>
      <c r="M5" s="483" t="s">
        <v>86</v>
      </c>
      <c r="N5" s="466" t="s">
        <v>87</v>
      </c>
      <c r="O5" s="488" t="s">
        <v>88</v>
      </c>
      <c r="P5" s="489" t="s">
        <v>89</v>
      </c>
      <c r="Q5" s="479" t="s">
        <v>90</v>
      </c>
      <c r="R5" s="492" t="s">
        <v>91</v>
      </c>
      <c r="S5" s="492" t="s">
        <v>92</v>
      </c>
      <c r="T5" s="492" t="s">
        <v>6</v>
      </c>
      <c r="U5" s="485" t="s">
        <v>93</v>
      </c>
    </row>
    <row r="6" spans="1:21" ht="15.75">
      <c r="A6" s="77"/>
      <c r="B6" s="78"/>
      <c r="C6" s="78"/>
      <c r="D6" s="78"/>
      <c r="E6" s="78"/>
      <c r="F6" s="78"/>
      <c r="G6" s="78"/>
      <c r="H6" s="78"/>
      <c r="I6" s="477"/>
      <c r="J6" s="479"/>
      <c r="K6" s="480"/>
      <c r="L6" s="482"/>
      <c r="M6" s="484"/>
      <c r="N6" s="467"/>
      <c r="O6" s="480"/>
      <c r="P6" s="490"/>
      <c r="Q6" s="479"/>
      <c r="R6" s="493"/>
      <c r="S6" s="493"/>
      <c r="T6" s="493"/>
      <c r="U6" s="486"/>
    </row>
    <row r="7" spans="1:21" ht="63">
      <c r="A7" s="79" t="s">
        <v>94</v>
      </c>
      <c r="B7" s="80" t="s">
        <v>95</v>
      </c>
      <c r="C7" s="80" t="s">
        <v>96</v>
      </c>
      <c r="D7" s="80" t="s">
        <v>97</v>
      </c>
      <c r="E7" s="80" t="s">
        <v>98</v>
      </c>
      <c r="F7" s="80" t="s">
        <v>99</v>
      </c>
      <c r="G7" s="80" t="s">
        <v>100</v>
      </c>
      <c r="H7" s="80" t="s">
        <v>101</v>
      </c>
      <c r="I7" s="477"/>
      <c r="J7" s="479"/>
      <c r="K7" s="481"/>
      <c r="L7" s="482"/>
      <c r="M7" s="484"/>
      <c r="N7" s="468"/>
      <c r="O7" s="481"/>
      <c r="P7" s="491"/>
      <c r="Q7" s="479"/>
      <c r="R7" s="494"/>
      <c r="S7" s="494"/>
      <c r="T7" s="494"/>
      <c r="U7" s="487"/>
    </row>
    <row r="8" spans="1:21" ht="75">
      <c r="A8" s="81" t="s">
        <v>102</v>
      </c>
      <c r="B8" s="82"/>
      <c r="C8" s="83"/>
      <c r="D8" s="83"/>
      <c r="E8" s="83"/>
      <c r="F8" s="83"/>
      <c r="G8" s="83"/>
      <c r="H8" s="83"/>
      <c r="I8" s="84">
        <v>20470418604</v>
      </c>
      <c r="J8" s="85" t="s">
        <v>103</v>
      </c>
      <c r="K8" s="85" t="s">
        <v>104</v>
      </c>
      <c r="L8" s="86" t="s">
        <v>105</v>
      </c>
      <c r="M8" s="87">
        <v>502788</v>
      </c>
      <c r="N8" s="87">
        <v>502788</v>
      </c>
      <c r="O8" s="88">
        <v>43164</v>
      </c>
      <c r="P8" s="89">
        <v>1</v>
      </c>
      <c r="Q8" s="89">
        <v>0</v>
      </c>
      <c r="R8" s="90">
        <f>N8</f>
        <v>502788</v>
      </c>
      <c r="S8" s="90">
        <v>0</v>
      </c>
      <c r="T8" s="90">
        <f t="shared" ref="T8:T23" si="0">N8-R8-S8</f>
        <v>0</v>
      </c>
      <c r="U8" s="91"/>
    </row>
    <row r="9" spans="1:21" ht="90">
      <c r="A9" s="81">
        <v>442</v>
      </c>
      <c r="B9" s="82"/>
      <c r="C9" s="83"/>
      <c r="D9" s="83"/>
      <c r="E9" s="83"/>
      <c r="F9" s="83"/>
      <c r="G9" s="83"/>
      <c r="H9" s="83"/>
      <c r="I9" s="84" t="s">
        <v>106</v>
      </c>
      <c r="J9" s="85" t="s">
        <v>107</v>
      </c>
      <c r="K9" s="85" t="s">
        <v>104</v>
      </c>
      <c r="L9" s="86" t="s">
        <v>105</v>
      </c>
      <c r="M9" s="87">
        <v>250000</v>
      </c>
      <c r="N9" s="87">
        <v>250000</v>
      </c>
      <c r="O9" s="88">
        <v>43336</v>
      </c>
      <c r="P9" s="89">
        <v>0</v>
      </c>
      <c r="Q9" s="89">
        <v>0</v>
      </c>
      <c r="R9" s="90">
        <v>0</v>
      </c>
      <c r="S9" s="90">
        <v>0</v>
      </c>
      <c r="T9" s="90">
        <f t="shared" si="0"/>
        <v>250000</v>
      </c>
      <c r="U9" s="91"/>
    </row>
    <row r="10" spans="1:21" ht="90">
      <c r="A10" s="81">
        <v>461</v>
      </c>
      <c r="B10" s="82"/>
      <c r="C10" s="83"/>
      <c r="D10" s="83"/>
      <c r="E10" s="83"/>
      <c r="F10" s="83"/>
      <c r="G10" s="83"/>
      <c r="H10" s="83"/>
      <c r="I10" s="84" t="s">
        <v>108</v>
      </c>
      <c r="J10" s="85" t="s">
        <v>107</v>
      </c>
      <c r="K10" s="85" t="s">
        <v>104</v>
      </c>
      <c r="L10" s="86" t="s">
        <v>105</v>
      </c>
      <c r="M10" s="87">
        <v>250000</v>
      </c>
      <c r="N10" s="87">
        <v>250000</v>
      </c>
      <c r="O10" s="88">
        <v>43336</v>
      </c>
      <c r="P10" s="89">
        <v>0</v>
      </c>
      <c r="Q10" s="89">
        <v>0</v>
      </c>
      <c r="R10" s="90">
        <v>0</v>
      </c>
      <c r="S10" s="90">
        <v>0</v>
      </c>
      <c r="T10" s="90">
        <f t="shared" si="0"/>
        <v>250000</v>
      </c>
      <c r="U10" s="91"/>
    </row>
    <row r="11" spans="1:21" ht="75">
      <c r="A11" s="81">
        <v>504</v>
      </c>
      <c r="B11" s="82"/>
      <c r="C11" s="83"/>
      <c r="D11" s="83"/>
      <c r="E11" s="83"/>
      <c r="F11" s="83"/>
      <c r="G11" s="83"/>
      <c r="H11" s="83"/>
      <c r="I11" s="84" t="s">
        <v>109</v>
      </c>
      <c r="J11" s="85" t="s">
        <v>110</v>
      </c>
      <c r="K11" s="85" t="s">
        <v>104</v>
      </c>
      <c r="L11" s="86" t="s">
        <v>105</v>
      </c>
      <c r="M11" s="87">
        <v>250000</v>
      </c>
      <c r="N11" s="87">
        <v>250000</v>
      </c>
      <c r="O11" s="88">
        <v>43398</v>
      </c>
      <c r="P11" s="89">
        <v>0</v>
      </c>
      <c r="Q11" s="89">
        <v>0</v>
      </c>
      <c r="R11" s="90">
        <v>0</v>
      </c>
      <c r="S11" s="90">
        <v>0</v>
      </c>
      <c r="T11" s="90">
        <f t="shared" si="0"/>
        <v>250000</v>
      </c>
      <c r="U11" s="91"/>
    </row>
    <row r="12" spans="1:21" ht="75">
      <c r="A12" s="81">
        <v>615</v>
      </c>
      <c r="B12" s="82"/>
      <c r="C12" s="83"/>
      <c r="D12" s="83"/>
      <c r="E12" s="83"/>
      <c r="F12" s="83"/>
      <c r="G12" s="83"/>
      <c r="H12" s="83"/>
      <c r="I12" s="84">
        <v>14470418602</v>
      </c>
      <c r="J12" s="85" t="s">
        <v>111</v>
      </c>
      <c r="K12" s="85" t="s">
        <v>104</v>
      </c>
      <c r="L12" s="86" t="s">
        <v>105</v>
      </c>
      <c r="M12" s="87">
        <v>450000</v>
      </c>
      <c r="N12" s="87">
        <v>450000</v>
      </c>
      <c r="O12" s="88">
        <v>43220</v>
      </c>
      <c r="P12" s="89">
        <v>0</v>
      </c>
      <c r="Q12" s="89">
        <v>0</v>
      </c>
      <c r="R12" s="90">
        <v>0</v>
      </c>
      <c r="S12" s="90">
        <v>0</v>
      </c>
      <c r="T12" s="90">
        <f t="shared" si="0"/>
        <v>450000</v>
      </c>
      <c r="U12" s="91"/>
    </row>
    <row r="13" spans="1:21" ht="75">
      <c r="A13" s="81">
        <v>630</v>
      </c>
      <c r="B13" s="82"/>
      <c r="C13" s="83"/>
      <c r="D13" s="83"/>
      <c r="E13" s="83"/>
      <c r="F13" s="83"/>
      <c r="G13" s="83"/>
      <c r="H13" s="83"/>
      <c r="I13" s="84">
        <v>14470418601</v>
      </c>
      <c r="J13" s="85" t="s">
        <v>111</v>
      </c>
      <c r="K13" s="85" t="s">
        <v>104</v>
      </c>
      <c r="L13" s="86" t="s">
        <v>105</v>
      </c>
      <c r="M13" s="87">
        <v>450000</v>
      </c>
      <c r="N13" s="87">
        <v>450000</v>
      </c>
      <c r="O13" s="88">
        <v>43357</v>
      </c>
      <c r="P13" s="89">
        <v>0</v>
      </c>
      <c r="Q13" s="89">
        <v>0</v>
      </c>
      <c r="R13" s="90">
        <v>0</v>
      </c>
      <c r="S13" s="90">
        <v>0</v>
      </c>
      <c r="T13" s="90">
        <f t="shared" si="0"/>
        <v>450000</v>
      </c>
      <c r="U13" s="91"/>
    </row>
    <row r="14" spans="1:21" ht="75">
      <c r="A14" s="81">
        <v>648</v>
      </c>
      <c r="B14" s="82"/>
      <c r="C14" s="83"/>
      <c r="D14" s="83"/>
      <c r="E14" s="83"/>
      <c r="F14" s="83"/>
      <c r="G14" s="83"/>
      <c r="H14" s="83"/>
      <c r="I14" s="84">
        <v>14470418603</v>
      </c>
      <c r="J14" s="85" t="s">
        <v>111</v>
      </c>
      <c r="K14" s="85" t="s">
        <v>104</v>
      </c>
      <c r="L14" s="86" t="s">
        <v>105</v>
      </c>
      <c r="M14" s="87">
        <v>450000</v>
      </c>
      <c r="N14" s="87">
        <v>450000</v>
      </c>
      <c r="O14" s="88">
        <v>43237</v>
      </c>
      <c r="P14" s="89">
        <v>0</v>
      </c>
      <c r="Q14" s="89">
        <v>0</v>
      </c>
      <c r="R14" s="90">
        <v>0</v>
      </c>
      <c r="S14" s="90">
        <v>0</v>
      </c>
      <c r="T14" s="90">
        <f t="shared" si="0"/>
        <v>450000</v>
      </c>
      <c r="U14" s="91"/>
    </row>
    <row r="15" spans="1:21" ht="75">
      <c r="A15" s="81">
        <v>700</v>
      </c>
      <c r="B15" s="82"/>
      <c r="C15" s="83"/>
      <c r="D15" s="83"/>
      <c r="E15" s="83"/>
      <c r="F15" s="83"/>
      <c r="G15" s="83"/>
      <c r="H15" s="83"/>
      <c r="I15" s="84">
        <v>21470418607</v>
      </c>
      <c r="J15" s="85" t="s">
        <v>112</v>
      </c>
      <c r="K15" s="85" t="s">
        <v>104</v>
      </c>
      <c r="L15" s="86" t="s">
        <v>105</v>
      </c>
      <c r="M15" s="87">
        <v>400000</v>
      </c>
      <c r="N15" s="87">
        <v>400000</v>
      </c>
      <c r="O15" s="88">
        <v>43314</v>
      </c>
      <c r="P15" s="89">
        <v>0</v>
      </c>
      <c r="Q15" s="89">
        <v>0</v>
      </c>
      <c r="R15" s="90">
        <v>0</v>
      </c>
      <c r="S15" s="90">
        <v>0</v>
      </c>
      <c r="T15" s="90">
        <f t="shared" si="0"/>
        <v>400000</v>
      </c>
      <c r="U15" s="91"/>
    </row>
    <row r="16" spans="1:21" ht="75">
      <c r="A16" s="81">
        <v>705</v>
      </c>
      <c r="B16" s="82"/>
      <c r="C16" s="83"/>
      <c r="D16" s="83"/>
      <c r="E16" s="83"/>
      <c r="F16" s="83"/>
      <c r="G16" s="83"/>
      <c r="H16" s="83"/>
      <c r="I16" s="84" t="s">
        <v>113</v>
      </c>
      <c r="J16" s="85" t="s">
        <v>114</v>
      </c>
      <c r="K16" s="85" t="s">
        <v>104</v>
      </c>
      <c r="L16" s="86" t="s">
        <v>105</v>
      </c>
      <c r="M16" s="87">
        <v>250000</v>
      </c>
      <c r="N16" s="87">
        <v>250000</v>
      </c>
      <c r="O16" s="88">
        <v>43216</v>
      </c>
      <c r="P16" s="89">
        <v>0</v>
      </c>
      <c r="Q16" s="89">
        <v>0</v>
      </c>
      <c r="R16" s="90">
        <v>0</v>
      </c>
      <c r="S16" s="90">
        <v>0</v>
      </c>
      <c r="T16" s="90">
        <f t="shared" si="0"/>
        <v>250000</v>
      </c>
      <c r="U16" s="91"/>
    </row>
    <row r="17" spans="1:21" ht="75">
      <c r="A17" s="81">
        <v>706</v>
      </c>
      <c r="B17" s="82"/>
      <c r="C17" s="83"/>
      <c r="D17" s="83"/>
      <c r="E17" s="83"/>
      <c r="F17" s="83"/>
      <c r="G17" s="83"/>
      <c r="H17" s="83"/>
      <c r="I17" s="84" t="s">
        <v>115</v>
      </c>
      <c r="J17" s="85" t="s">
        <v>116</v>
      </c>
      <c r="K17" s="85" t="s">
        <v>104</v>
      </c>
      <c r="L17" s="86" t="s">
        <v>105</v>
      </c>
      <c r="M17" s="87">
        <v>250000</v>
      </c>
      <c r="N17" s="87">
        <v>250000</v>
      </c>
      <c r="O17" s="88">
        <v>43307</v>
      </c>
      <c r="P17" s="89">
        <v>0</v>
      </c>
      <c r="Q17" s="89">
        <v>0</v>
      </c>
      <c r="R17" s="90">
        <v>0</v>
      </c>
      <c r="S17" s="90">
        <v>0</v>
      </c>
      <c r="T17" s="90">
        <f t="shared" si="0"/>
        <v>250000</v>
      </c>
      <c r="U17" s="91"/>
    </row>
    <row r="18" spans="1:21" ht="75">
      <c r="A18" s="81">
        <v>712</v>
      </c>
      <c r="B18" s="82"/>
      <c r="C18" s="83"/>
      <c r="D18" s="83"/>
      <c r="E18" s="83"/>
      <c r="F18" s="83"/>
      <c r="G18" s="83"/>
      <c r="H18" s="83"/>
      <c r="I18" s="84" t="s">
        <v>117</v>
      </c>
      <c r="J18" s="85" t="s">
        <v>118</v>
      </c>
      <c r="K18" s="85" t="s">
        <v>104</v>
      </c>
      <c r="L18" s="86" t="s">
        <v>105</v>
      </c>
      <c r="M18" s="87">
        <v>250000</v>
      </c>
      <c r="N18" s="87">
        <v>250000</v>
      </c>
      <c r="O18" s="88">
        <v>43279</v>
      </c>
      <c r="P18" s="89">
        <v>0</v>
      </c>
      <c r="Q18" s="89">
        <v>0</v>
      </c>
      <c r="R18" s="90">
        <v>0</v>
      </c>
      <c r="S18" s="90">
        <v>0</v>
      </c>
      <c r="T18" s="90">
        <f t="shared" si="0"/>
        <v>250000</v>
      </c>
      <c r="U18" s="91"/>
    </row>
    <row r="19" spans="1:21" ht="75">
      <c r="A19" s="81">
        <v>713</v>
      </c>
      <c r="B19" s="82"/>
      <c r="C19" s="83"/>
      <c r="D19" s="83"/>
      <c r="E19" s="83"/>
      <c r="F19" s="83"/>
      <c r="G19" s="83"/>
      <c r="H19" s="83"/>
      <c r="I19" s="84" t="s">
        <v>119</v>
      </c>
      <c r="J19" s="85" t="s">
        <v>116</v>
      </c>
      <c r="K19" s="85" t="s">
        <v>104</v>
      </c>
      <c r="L19" s="86" t="s">
        <v>105</v>
      </c>
      <c r="M19" s="87">
        <v>250000</v>
      </c>
      <c r="N19" s="87">
        <v>250000</v>
      </c>
      <c r="O19" s="88">
        <v>43307</v>
      </c>
      <c r="P19" s="89">
        <v>0</v>
      </c>
      <c r="Q19" s="89">
        <v>0</v>
      </c>
      <c r="R19" s="90">
        <v>0</v>
      </c>
      <c r="S19" s="90">
        <v>0</v>
      </c>
      <c r="T19" s="90">
        <f t="shared" si="0"/>
        <v>250000</v>
      </c>
      <c r="U19" s="91"/>
    </row>
    <row r="20" spans="1:21" ht="75">
      <c r="A20" s="81">
        <v>719</v>
      </c>
      <c r="B20" s="82"/>
      <c r="C20" s="83"/>
      <c r="D20" s="83"/>
      <c r="E20" s="83"/>
      <c r="F20" s="83"/>
      <c r="G20" s="83"/>
      <c r="H20" s="83"/>
      <c r="I20" s="84" t="s">
        <v>120</v>
      </c>
      <c r="J20" s="85" t="s">
        <v>121</v>
      </c>
      <c r="K20" s="85" t="s">
        <v>104</v>
      </c>
      <c r="L20" s="86" t="s">
        <v>105</v>
      </c>
      <c r="M20" s="87">
        <v>450000</v>
      </c>
      <c r="N20" s="87">
        <v>450000</v>
      </c>
      <c r="O20" s="88">
        <v>43279</v>
      </c>
      <c r="P20" s="89">
        <v>0</v>
      </c>
      <c r="Q20" s="89">
        <v>0</v>
      </c>
      <c r="R20" s="90">
        <v>0</v>
      </c>
      <c r="S20" s="90">
        <v>0</v>
      </c>
      <c r="T20" s="90">
        <f t="shared" si="0"/>
        <v>450000</v>
      </c>
      <c r="U20" s="91"/>
    </row>
    <row r="21" spans="1:21" ht="75">
      <c r="A21" s="81">
        <v>732</v>
      </c>
      <c r="B21" s="82"/>
      <c r="C21" s="83"/>
      <c r="D21" s="83"/>
      <c r="E21" s="83"/>
      <c r="F21" s="83"/>
      <c r="G21" s="83"/>
      <c r="H21" s="83"/>
      <c r="I21" s="84">
        <v>17470418606</v>
      </c>
      <c r="J21" s="85" t="s">
        <v>122</v>
      </c>
      <c r="K21" s="85" t="s">
        <v>104</v>
      </c>
      <c r="L21" s="86" t="s">
        <v>105</v>
      </c>
      <c r="M21" s="87">
        <v>400000</v>
      </c>
      <c r="N21" s="87">
        <v>400000</v>
      </c>
      <c r="O21" s="88">
        <v>43279</v>
      </c>
      <c r="P21" s="89">
        <v>0</v>
      </c>
      <c r="Q21" s="89">
        <v>0</v>
      </c>
      <c r="R21" s="90">
        <v>0</v>
      </c>
      <c r="S21" s="90">
        <v>0</v>
      </c>
      <c r="T21" s="90">
        <f t="shared" si="0"/>
        <v>400000</v>
      </c>
      <c r="U21" s="91"/>
    </row>
    <row r="22" spans="1:21" ht="75">
      <c r="A22" s="81">
        <v>743</v>
      </c>
      <c r="B22" s="82"/>
      <c r="C22" s="83"/>
      <c r="D22" s="83"/>
      <c r="E22" s="83"/>
      <c r="F22" s="83"/>
      <c r="G22" s="83"/>
      <c r="H22" s="83"/>
      <c r="I22" s="84" t="s">
        <v>123</v>
      </c>
      <c r="J22" s="85" t="s">
        <v>124</v>
      </c>
      <c r="K22" s="85" t="s">
        <v>104</v>
      </c>
      <c r="L22" s="86" t="s">
        <v>105</v>
      </c>
      <c r="M22" s="87">
        <v>400000</v>
      </c>
      <c r="N22" s="87">
        <v>400000</v>
      </c>
      <c r="O22" s="88">
        <v>43245</v>
      </c>
      <c r="P22" s="89">
        <v>0</v>
      </c>
      <c r="Q22" s="89">
        <v>0</v>
      </c>
      <c r="R22" s="90">
        <v>0</v>
      </c>
      <c r="S22" s="90">
        <v>0</v>
      </c>
      <c r="T22" s="90">
        <f t="shared" si="0"/>
        <v>400000</v>
      </c>
      <c r="U22" s="91"/>
    </row>
    <row r="23" spans="1:21" ht="90">
      <c r="A23" s="81" t="s">
        <v>125</v>
      </c>
      <c r="B23" s="82"/>
      <c r="C23" s="83"/>
      <c r="D23" s="83"/>
      <c r="E23" s="83"/>
      <c r="F23" s="83"/>
      <c r="G23" s="83"/>
      <c r="H23" s="83"/>
      <c r="I23" s="84"/>
      <c r="J23" s="92" t="s">
        <v>126</v>
      </c>
      <c r="K23" s="85" t="s">
        <v>104</v>
      </c>
      <c r="L23" s="86" t="s">
        <v>105</v>
      </c>
      <c r="M23" s="87">
        <v>747212</v>
      </c>
      <c r="N23" s="87">
        <v>747212</v>
      </c>
      <c r="O23" s="88" t="s">
        <v>127</v>
      </c>
      <c r="P23" s="89">
        <v>0</v>
      </c>
      <c r="Q23" s="89">
        <v>0</v>
      </c>
      <c r="R23" s="90">
        <v>0</v>
      </c>
      <c r="S23" s="90">
        <v>0</v>
      </c>
      <c r="T23" s="90">
        <f t="shared" si="0"/>
        <v>747212</v>
      </c>
      <c r="U23" s="91"/>
    </row>
    <row r="24" spans="1:21">
      <c r="A24" s="93"/>
      <c r="B24" s="82"/>
      <c r="C24" s="83"/>
      <c r="D24" s="83"/>
      <c r="E24" s="83"/>
      <c r="F24" s="83"/>
      <c r="G24" s="83"/>
      <c r="H24" s="83"/>
      <c r="I24" s="94"/>
      <c r="J24" s="95"/>
      <c r="K24" s="85"/>
      <c r="L24" s="86"/>
      <c r="M24" s="87">
        <f>SUM(M8:M23)</f>
        <v>6000000</v>
      </c>
      <c r="N24" s="87">
        <f>SUM(N8:N23)</f>
        <v>6000000</v>
      </c>
      <c r="O24" s="88"/>
      <c r="P24" s="96"/>
      <c r="Q24" s="89"/>
      <c r="R24" s="97">
        <f>SUM(R8:R23)</f>
        <v>502788</v>
      </c>
      <c r="S24" s="97">
        <f>SUM(S8:S22)</f>
        <v>0</v>
      </c>
      <c r="T24" s="97">
        <f>SUM(T8:T23)</f>
        <v>5497212</v>
      </c>
      <c r="U24" s="98"/>
    </row>
    <row r="25" spans="1:21" ht="15.75">
      <c r="A25" s="62"/>
      <c r="B25" s="62"/>
      <c r="C25" s="99"/>
      <c r="D25" s="99"/>
      <c r="E25" s="99"/>
      <c r="F25" s="99"/>
      <c r="G25" s="99"/>
      <c r="H25" s="99"/>
      <c r="I25" s="100"/>
      <c r="J25" s="62"/>
      <c r="K25" s="101"/>
      <c r="L25" s="62"/>
      <c r="M25" s="102"/>
      <c r="N25" s="103"/>
      <c r="O25" s="104"/>
      <c r="P25" s="62"/>
      <c r="Q25" s="62"/>
      <c r="R25" s="105"/>
      <c r="S25" s="105"/>
      <c r="T25" s="105"/>
      <c r="U25" s="99"/>
    </row>
    <row r="26" spans="1:21" ht="45">
      <c r="A26" s="93" t="s">
        <v>128</v>
      </c>
      <c r="B26" s="82"/>
      <c r="C26" s="83"/>
      <c r="D26" s="83"/>
      <c r="E26" s="83"/>
      <c r="F26" s="83"/>
      <c r="G26" s="83"/>
      <c r="H26" s="83"/>
      <c r="I26" s="84" t="s">
        <v>129</v>
      </c>
      <c r="J26" s="106" t="s">
        <v>130</v>
      </c>
      <c r="K26" s="85" t="s">
        <v>104</v>
      </c>
      <c r="L26" s="86" t="s">
        <v>105</v>
      </c>
      <c r="M26" s="87">
        <v>30000000</v>
      </c>
      <c r="N26" s="87">
        <v>30000000</v>
      </c>
      <c r="O26" s="88" t="s">
        <v>127</v>
      </c>
      <c r="P26" s="89">
        <v>0</v>
      </c>
      <c r="Q26" s="89">
        <v>0</v>
      </c>
      <c r="R26" s="90">
        <v>0</v>
      </c>
      <c r="S26" s="90">
        <v>0</v>
      </c>
      <c r="T26" s="90">
        <f>N26-R26-S26</f>
        <v>30000000</v>
      </c>
      <c r="U26" s="91"/>
    </row>
  </sheetData>
  <mergeCells count="19">
    <mergeCell ref="U5:U7"/>
    <mergeCell ref="O5:O7"/>
    <mergeCell ref="P5:P7"/>
    <mergeCell ref="Q5:Q7"/>
    <mergeCell ref="R5:R7"/>
    <mergeCell ref="S5:S7"/>
    <mergeCell ref="T5:T7"/>
    <mergeCell ref="A3:H3"/>
    <mergeCell ref="J3:K3"/>
    <mergeCell ref="N5:N7"/>
    <mergeCell ref="J1:K1"/>
    <mergeCell ref="L1:L3"/>
    <mergeCell ref="M1:M3"/>
    <mergeCell ref="J2:K2"/>
    <mergeCell ref="I5:I7"/>
    <mergeCell ref="J5:J7"/>
    <mergeCell ref="K5:K7"/>
    <mergeCell ref="L5:L7"/>
    <mergeCell ref="M5:M7"/>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workbookViewId="0">
      <selection activeCell="B36" sqref="B36:N36"/>
    </sheetView>
  </sheetViews>
  <sheetFormatPr defaultRowHeight="15"/>
  <sheetData>
    <row r="1" spans="1:14">
      <c r="A1" s="439" t="s">
        <v>134</v>
      </c>
      <c r="B1" s="498" t="s">
        <v>515</v>
      </c>
      <c r="C1" s="499"/>
      <c r="D1" s="499"/>
      <c r="E1" s="499"/>
      <c r="F1" s="499"/>
      <c r="G1" s="499"/>
      <c r="H1" s="499"/>
      <c r="I1" s="499"/>
      <c r="J1" s="499"/>
      <c r="K1" s="499"/>
      <c r="L1" s="499"/>
      <c r="M1" s="499"/>
      <c r="N1" s="500"/>
    </row>
    <row r="2" spans="1:14">
      <c r="A2" s="440"/>
      <c r="B2" s="501"/>
      <c r="C2" s="502"/>
      <c r="D2" s="502"/>
      <c r="E2" s="502"/>
      <c r="F2" s="502"/>
      <c r="G2" s="502"/>
      <c r="H2" s="502"/>
      <c r="I2" s="502"/>
      <c r="J2" s="502"/>
      <c r="K2" s="502"/>
      <c r="L2" s="502"/>
      <c r="M2" s="502"/>
      <c r="N2" s="503"/>
    </row>
    <row r="3" spans="1:14">
      <c r="A3" s="441"/>
      <c r="B3" s="504"/>
      <c r="C3" s="505"/>
      <c r="D3" s="505"/>
      <c r="E3" s="505"/>
      <c r="F3" s="505"/>
      <c r="G3" s="505"/>
      <c r="H3" s="505"/>
      <c r="I3" s="505"/>
      <c r="J3" s="505"/>
      <c r="K3" s="505"/>
      <c r="L3" s="505"/>
      <c r="M3" s="505"/>
      <c r="N3" s="506"/>
    </row>
    <row r="4" spans="1:14">
      <c r="A4" s="121">
        <v>1</v>
      </c>
      <c r="B4" s="495" t="s">
        <v>516</v>
      </c>
      <c r="C4" s="496"/>
      <c r="D4" s="496"/>
      <c r="E4" s="496"/>
      <c r="F4" s="496"/>
      <c r="G4" s="496"/>
      <c r="H4" s="496"/>
      <c r="I4" s="496"/>
      <c r="J4" s="496"/>
      <c r="K4" s="496"/>
      <c r="L4" s="496"/>
      <c r="M4" s="496"/>
      <c r="N4" s="497"/>
    </row>
    <row r="5" spans="1:14">
      <c r="A5" s="121">
        <v>15</v>
      </c>
      <c r="B5" s="495" t="s">
        <v>517</v>
      </c>
      <c r="C5" s="496"/>
      <c r="D5" s="496"/>
      <c r="E5" s="496"/>
      <c r="F5" s="496"/>
      <c r="G5" s="496"/>
      <c r="H5" s="496"/>
      <c r="I5" s="496"/>
      <c r="J5" s="496"/>
      <c r="K5" s="496"/>
      <c r="L5" s="496"/>
      <c r="M5" s="496"/>
      <c r="N5" s="497"/>
    </row>
    <row r="6" spans="1:14">
      <c r="A6" s="121">
        <v>21</v>
      </c>
      <c r="B6" s="495" t="s">
        <v>518</v>
      </c>
      <c r="C6" s="496"/>
      <c r="D6" s="496"/>
      <c r="E6" s="496"/>
      <c r="F6" s="496"/>
      <c r="G6" s="496"/>
      <c r="H6" s="496"/>
      <c r="I6" s="496"/>
      <c r="J6" s="496"/>
      <c r="K6" s="496"/>
      <c r="L6" s="496"/>
      <c r="M6" s="496"/>
      <c r="N6" s="497"/>
    </row>
    <row r="7" spans="1:14">
      <c r="A7" s="121">
        <v>22</v>
      </c>
      <c r="B7" s="495" t="s">
        <v>519</v>
      </c>
      <c r="C7" s="496"/>
      <c r="D7" s="496"/>
      <c r="E7" s="496"/>
      <c r="F7" s="496"/>
      <c r="G7" s="496"/>
      <c r="H7" s="496"/>
      <c r="I7" s="496"/>
      <c r="J7" s="496"/>
      <c r="K7" s="496"/>
      <c r="L7" s="496"/>
      <c r="M7" s="496"/>
      <c r="N7" s="497"/>
    </row>
    <row r="8" spans="1:14">
      <c r="A8" s="121">
        <v>27</v>
      </c>
      <c r="B8" s="495" t="s">
        <v>520</v>
      </c>
      <c r="C8" s="496"/>
      <c r="D8" s="496"/>
      <c r="E8" s="496"/>
      <c r="F8" s="496"/>
      <c r="G8" s="496"/>
      <c r="H8" s="496"/>
      <c r="I8" s="496"/>
      <c r="J8" s="496"/>
      <c r="K8" s="496"/>
      <c r="L8" s="496"/>
      <c r="M8" s="496"/>
      <c r="N8" s="497"/>
    </row>
    <row r="9" spans="1:14">
      <c r="A9" s="121">
        <v>29</v>
      </c>
      <c r="B9" s="495" t="s">
        <v>520</v>
      </c>
      <c r="C9" s="496"/>
      <c r="D9" s="496"/>
      <c r="E9" s="496"/>
      <c r="F9" s="496"/>
      <c r="G9" s="496"/>
      <c r="H9" s="496"/>
      <c r="I9" s="496"/>
      <c r="J9" s="496"/>
      <c r="K9" s="496"/>
      <c r="L9" s="496"/>
      <c r="M9" s="496"/>
      <c r="N9" s="497"/>
    </row>
    <row r="10" spans="1:14">
      <c r="A10" s="121">
        <v>31</v>
      </c>
      <c r="B10" s="495" t="s">
        <v>521</v>
      </c>
      <c r="C10" s="496"/>
      <c r="D10" s="496"/>
      <c r="E10" s="496"/>
      <c r="F10" s="496"/>
      <c r="G10" s="496"/>
      <c r="H10" s="496"/>
      <c r="I10" s="496"/>
      <c r="J10" s="496"/>
      <c r="K10" s="496"/>
      <c r="L10" s="496"/>
      <c r="M10" s="496"/>
      <c r="N10" s="497"/>
    </row>
    <row r="11" spans="1:14">
      <c r="A11" s="121">
        <v>32</v>
      </c>
      <c r="B11" s="495" t="s">
        <v>522</v>
      </c>
      <c r="C11" s="496"/>
      <c r="D11" s="496"/>
      <c r="E11" s="496"/>
      <c r="F11" s="496"/>
      <c r="G11" s="496"/>
      <c r="H11" s="496"/>
      <c r="I11" s="496"/>
      <c r="J11" s="496"/>
      <c r="K11" s="496"/>
      <c r="L11" s="496"/>
      <c r="M11" s="496"/>
      <c r="N11" s="497"/>
    </row>
    <row r="12" spans="1:14">
      <c r="A12" s="121">
        <v>34</v>
      </c>
      <c r="B12" s="495" t="s">
        <v>523</v>
      </c>
      <c r="C12" s="496"/>
      <c r="D12" s="496"/>
      <c r="E12" s="496"/>
      <c r="F12" s="496"/>
      <c r="G12" s="496"/>
      <c r="H12" s="496"/>
      <c r="I12" s="496"/>
      <c r="J12" s="496"/>
      <c r="K12" s="496"/>
      <c r="L12" s="496"/>
      <c r="M12" s="496"/>
      <c r="N12" s="497"/>
    </row>
    <row r="13" spans="1:14">
      <c r="A13" s="121">
        <v>42</v>
      </c>
      <c r="B13" s="495" t="s">
        <v>524</v>
      </c>
      <c r="C13" s="496"/>
      <c r="D13" s="496"/>
      <c r="E13" s="496"/>
      <c r="F13" s="496"/>
      <c r="G13" s="496"/>
      <c r="H13" s="496"/>
      <c r="I13" s="496"/>
      <c r="J13" s="496"/>
      <c r="K13" s="496"/>
      <c r="L13" s="496"/>
      <c r="M13" s="496"/>
      <c r="N13" s="497"/>
    </row>
    <row r="14" spans="1:14">
      <c r="A14" s="121">
        <v>46</v>
      </c>
      <c r="B14" s="495" t="s">
        <v>525</v>
      </c>
      <c r="C14" s="496"/>
      <c r="D14" s="496"/>
      <c r="E14" s="496"/>
      <c r="F14" s="496"/>
      <c r="G14" s="496"/>
      <c r="H14" s="496"/>
      <c r="I14" s="496"/>
      <c r="J14" s="496"/>
      <c r="K14" s="496"/>
      <c r="L14" s="496"/>
      <c r="M14" s="496"/>
      <c r="N14" s="497"/>
    </row>
    <row r="15" spans="1:14">
      <c r="A15" s="121">
        <v>47</v>
      </c>
      <c r="B15" s="495" t="s">
        <v>526</v>
      </c>
      <c r="C15" s="496"/>
      <c r="D15" s="496"/>
      <c r="E15" s="496"/>
      <c r="F15" s="496"/>
      <c r="G15" s="496"/>
      <c r="H15" s="496"/>
      <c r="I15" s="496"/>
      <c r="J15" s="496"/>
      <c r="K15" s="496"/>
      <c r="L15" s="496"/>
      <c r="M15" s="496"/>
      <c r="N15" s="497"/>
    </row>
    <row r="16" spans="1:14">
      <c r="A16" s="121">
        <v>49</v>
      </c>
      <c r="B16" s="495" t="s">
        <v>527</v>
      </c>
      <c r="C16" s="496"/>
      <c r="D16" s="496"/>
      <c r="E16" s="496"/>
      <c r="F16" s="496"/>
      <c r="G16" s="496"/>
      <c r="H16" s="496"/>
      <c r="I16" s="496"/>
      <c r="J16" s="496"/>
      <c r="K16" s="496"/>
      <c r="L16" s="496"/>
      <c r="M16" s="496"/>
      <c r="N16" s="497"/>
    </row>
    <row r="17" spans="1:14">
      <c r="A17" s="121">
        <v>53</v>
      </c>
      <c r="B17" s="495" t="s">
        <v>528</v>
      </c>
      <c r="C17" s="496"/>
      <c r="D17" s="496"/>
      <c r="E17" s="496"/>
      <c r="F17" s="496"/>
      <c r="G17" s="496"/>
      <c r="H17" s="496"/>
      <c r="I17" s="496"/>
      <c r="J17" s="496"/>
      <c r="K17" s="496"/>
      <c r="L17" s="496"/>
      <c r="M17" s="496"/>
      <c r="N17" s="497"/>
    </row>
    <row r="18" spans="1:14">
      <c r="A18" s="121">
        <v>56</v>
      </c>
      <c r="B18" s="495" t="s">
        <v>529</v>
      </c>
      <c r="C18" s="496"/>
      <c r="D18" s="496"/>
      <c r="E18" s="496"/>
      <c r="F18" s="496"/>
      <c r="G18" s="496"/>
      <c r="H18" s="496"/>
      <c r="I18" s="496"/>
      <c r="J18" s="496"/>
      <c r="K18" s="496"/>
      <c r="L18" s="496"/>
      <c r="M18" s="496"/>
      <c r="N18" s="497"/>
    </row>
    <row r="19" spans="1:14">
      <c r="A19" s="121">
        <v>58</v>
      </c>
      <c r="B19" s="495" t="s">
        <v>530</v>
      </c>
      <c r="C19" s="496"/>
      <c r="D19" s="496"/>
      <c r="E19" s="496"/>
      <c r="F19" s="496"/>
      <c r="G19" s="496"/>
      <c r="H19" s="496"/>
      <c r="I19" s="496"/>
      <c r="J19" s="496"/>
      <c r="K19" s="496"/>
      <c r="L19" s="496"/>
      <c r="M19" s="496"/>
      <c r="N19" s="497"/>
    </row>
    <row r="20" spans="1:14">
      <c r="A20" s="121">
        <v>61</v>
      </c>
      <c r="B20" s="495" t="s">
        <v>531</v>
      </c>
      <c r="C20" s="496"/>
      <c r="D20" s="496"/>
      <c r="E20" s="496"/>
      <c r="F20" s="496"/>
      <c r="G20" s="496"/>
      <c r="H20" s="496"/>
      <c r="I20" s="496"/>
      <c r="J20" s="496"/>
      <c r="K20" s="496"/>
      <c r="L20" s="496"/>
      <c r="M20" s="496"/>
      <c r="N20" s="497"/>
    </row>
    <row r="21" spans="1:14">
      <c r="A21" s="121">
        <v>66</v>
      </c>
      <c r="B21" s="495" t="s">
        <v>532</v>
      </c>
      <c r="C21" s="496"/>
      <c r="D21" s="496"/>
      <c r="E21" s="496"/>
      <c r="F21" s="496"/>
      <c r="G21" s="496"/>
      <c r="H21" s="496"/>
      <c r="I21" s="496"/>
      <c r="J21" s="496"/>
      <c r="K21" s="496"/>
      <c r="L21" s="496"/>
      <c r="M21" s="496"/>
      <c r="N21" s="497"/>
    </row>
    <row r="22" spans="1:14">
      <c r="A22" s="121">
        <v>71</v>
      </c>
      <c r="B22" s="495" t="s">
        <v>533</v>
      </c>
      <c r="C22" s="496"/>
      <c r="D22" s="496"/>
      <c r="E22" s="496"/>
      <c r="F22" s="496"/>
      <c r="G22" s="496"/>
      <c r="H22" s="496"/>
      <c r="I22" s="496"/>
      <c r="J22" s="496"/>
      <c r="K22" s="496"/>
      <c r="L22" s="496"/>
      <c r="M22" s="496"/>
      <c r="N22" s="497"/>
    </row>
    <row r="23" spans="1:14">
      <c r="A23" s="121">
        <v>74</v>
      </c>
      <c r="B23" s="495" t="s">
        <v>534</v>
      </c>
      <c r="C23" s="496"/>
      <c r="D23" s="496"/>
      <c r="E23" s="496"/>
      <c r="F23" s="496"/>
      <c r="G23" s="496"/>
      <c r="H23" s="496"/>
      <c r="I23" s="496"/>
      <c r="J23" s="496"/>
      <c r="K23" s="496"/>
      <c r="L23" s="496"/>
      <c r="M23" s="496"/>
      <c r="N23" s="497"/>
    </row>
    <row r="24" spans="1:14">
      <c r="A24" s="121">
        <v>79</v>
      </c>
      <c r="B24" s="495" t="s">
        <v>520</v>
      </c>
      <c r="C24" s="496"/>
      <c r="D24" s="496"/>
      <c r="E24" s="496"/>
      <c r="F24" s="496"/>
      <c r="G24" s="496"/>
      <c r="H24" s="496"/>
      <c r="I24" s="496"/>
      <c r="J24" s="496"/>
      <c r="K24" s="496"/>
      <c r="L24" s="496"/>
      <c r="M24" s="496"/>
      <c r="N24" s="497"/>
    </row>
    <row r="25" spans="1:14">
      <c r="A25" s="121">
        <v>82</v>
      </c>
      <c r="B25" s="495" t="s">
        <v>520</v>
      </c>
      <c r="C25" s="496"/>
      <c r="D25" s="496"/>
      <c r="E25" s="496"/>
      <c r="F25" s="496"/>
      <c r="G25" s="496"/>
      <c r="H25" s="496"/>
      <c r="I25" s="496"/>
      <c r="J25" s="496"/>
      <c r="K25" s="496"/>
      <c r="L25" s="496"/>
      <c r="M25" s="496"/>
      <c r="N25" s="497"/>
    </row>
    <row r="26" spans="1:14">
      <c r="A26" s="121">
        <v>84</v>
      </c>
      <c r="B26" s="495" t="s">
        <v>535</v>
      </c>
      <c r="C26" s="496"/>
      <c r="D26" s="496"/>
      <c r="E26" s="496"/>
      <c r="F26" s="496"/>
      <c r="G26" s="496"/>
      <c r="H26" s="496"/>
      <c r="I26" s="496"/>
      <c r="J26" s="496"/>
      <c r="K26" s="496"/>
      <c r="L26" s="496"/>
      <c r="M26" s="496"/>
      <c r="N26" s="497"/>
    </row>
    <row r="27" spans="1:14">
      <c r="A27" s="121">
        <v>85</v>
      </c>
      <c r="B27" s="495" t="s">
        <v>536</v>
      </c>
      <c r="C27" s="496"/>
      <c r="D27" s="496"/>
      <c r="E27" s="496"/>
      <c r="F27" s="496"/>
      <c r="G27" s="496"/>
      <c r="H27" s="496"/>
      <c r="I27" s="496"/>
      <c r="J27" s="496"/>
      <c r="K27" s="496"/>
      <c r="L27" s="496"/>
      <c r="M27" s="496"/>
      <c r="N27" s="497"/>
    </row>
    <row r="28" spans="1:14">
      <c r="A28" s="121">
        <v>88</v>
      </c>
      <c r="B28" s="495" t="s">
        <v>537</v>
      </c>
      <c r="C28" s="496"/>
      <c r="D28" s="496"/>
      <c r="E28" s="496"/>
      <c r="F28" s="496"/>
      <c r="G28" s="496"/>
      <c r="H28" s="496"/>
      <c r="I28" s="496"/>
      <c r="J28" s="496"/>
      <c r="K28" s="496"/>
      <c r="L28" s="496"/>
      <c r="M28" s="496"/>
      <c r="N28" s="497"/>
    </row>
    <row r="29" spans="1:14">
      <c r="A29" s="121">
        <v>89</v>
      </c>
      <c r="B29" s="495" t="s">
        <v>538</v>
      </c>
      <c r="C29" s="496"/>
      <c r="D29" s="496"/>
      <c r="E29" s="496"/>
      <c r="F29" s="496"/>
      <c r="G29" s="496"/>
      <c r="H29" s="496"/>
      <c r="I29" s="496"/>
      <c r="J29" s="496"/>
      <c r="K29" s="496"/>
      <c r="L29" s="496"/>
      <c r="M29" s="496"/>
      <c r="N29" s="497"/>
    </row>
    <row r="30" spans="1:14">
      <c r="A30" s="121">
        <v>90</v>
      </c>
      <c r="B30" s="495" t="s">
        <v>539</v>
      </c>
      <c r="C30" s="496"/>
      <c r="D30" s="496"/>
      <c r="E30" s="496"/>
      <c r="F30" s="496"/>
      <c r="G30" s="496"/>
      <c r="H30" s="496"/>
      <c r="I30" s="496"/>
      <c r="J30" s="496"/>
      <c r="K30" s="496"/>
      <c r="L30" s="496"/>
      <c r="M30" s="496"/>
      <c r="N30" s="497"/>
    </row>
    <row r="31" spans="1:14">
      <c r="A31" s="121">
        <v>92</v>
      </c>
      <c r="B31" s="495" t="s">
        <v>540</v>
      </c>
      <c r="C31" s="496"/>
      <c r="D31" s="496"/>
      <c r="E31" s="496"/>
      <c r="F31" s="496"/>
      <c r="G31" s="496"/>
      <c r="H31" s="496"/>
      <c r="I31" s="496"/>
      <c r="J31" s="496"/>
      <c r="K31" s="496"/>
      <c r="L31" s="496"/>
      <c r="M31" s="496"/>
      <c r="N31" s="497"/>
    </row>
    <row r="32" spans="1:14">
      <c r="A32" s="121">
        <v>94</v>
      </c>
      <c r="B32" s="495" t="s">
        <v>541</v>
      </c>
      <c r="C32" s="496"/>
      <c r="D32" s="496"/>
      <c r="E32" s="496"/>
      <c r="F32" s="496"/>
      <c r="G32" s="496"/>
      <c r="H32" s="496"/>
      <c r="I32" s="496"/>
      <c r="J32" s="496"/>
      <c r="K32" s="496"/>
      <c r="L32" s="496"/>
      <c r="M32" s="496"/>
      <c r="N32" s="497"/>
    </row>
    <row r="33" spans="1:14">
      <c r="A33" s="121">
        <v>103</v>
      </c>
      <c r="B33" s="495" t="s">
        <v>542</v>
      </c>
      <c r="C33" s="496"/>
      <c r="D33" s="496"/>
      <c r="E33" s="496"/>
      <c r="F33" s="496"/>
      <c r="G33" s="496"/>
      <c r="H33" s="496"/>
      <c r="I33" s="496"/>
      <c r="J33" s="496"/>
      <c r="K33" s="496"/>
      <c r="L33" s="496"/>
      <c r="M33" s="496"/>
      <c r="N33" s="497"/>
    </row>
    <row r="34" spans="1:14">
      <c r="A34" s="121">
        <v>105</v>
      </c>
      <c r="B34" s="495" t="s">
        <v>543</v>
      </c>
      <c r="C34" s="496"/>
      <c r="D34" s="496"/>
      <c r="E34" s="496"/>
      <c r="F34" s="496"/>
      <c r="G34" s="496"/>
      <c r="H34" s="496"/>
      <c r="I34" s="496"/>
      <c r="J34" s="496"/>
      <c r="K34" s="496"/>
      <c r="L34" s="496"/>
      <c r="M34" s="496"/>
      <c r="N34" s="497"/>
    </row>
    <row r="35" spans="1:14">
      <c r="A35" s="121">
        <v>106</v>
      </c>
      <c r="B35" s="495" t="s">
        <v>544</v>
      </c>
      <c r="C35" s="496"/>
      <c r="D35" s="496"/>
      <c r="E35" s="496"/>
      <c r="F35" s="496"/>
      <c r="G35" s="496"/>
      <c r="H35" s="496"/>
      <c r="I35" s="496"/>
      <c r="J35" s="496"/>
      <c r="K35" s="496"/>
      <c r="L35" s="496"/>
      <c r="M35" s="496"/>
      <c r="N35" s="497"/>
    </row>
    <row r="36" spans="1:14">
      <c r="A36" s="121">
        <v>112</v>
      </c>
      <c r="B36" s="495" t="s">
        <v>545</v>
      </c>
      <c r="C36" s="496"/>
      <c r="D36" s="496"/>
      <c r="E36" s="496"/>
      <c r="F36" s="496"/>
      <c r="G36" s="496"/>
      <c r="H36" s="496"/>
      <c r="I36" s="496"/>
      <c r="J36" s="496"/>
      <c r="K36" s="496"/>
      <c r="L36" s="496"/>
      <c r="M36" s="496"/>
      <c r="N36" s="497"/>
    </row>
    <row r="37" spans="1:14">
      <c r="A37" s="121">
        <v>117</v>
      </c>
      <c r="B37" s="495" t="s">
        <v>546</v>
      </c>
      <c r="C37" s="496"/>
      <c r="D37" s="496"/>
      <c r="E37" s="496"/>
      <c r="F37" s="496"/>
      <c r="G37" s="496"/>
      <c r="H37" s="496"/>
      <c r="I37" s="496"/>
      <c r="J37" s="496"/>
      <c r="K37" s="496"/>
      <c r="L37" s="496"/>
      <c r="M37" s="496"/>
      <c r="N37" s="497"/>
    </row>
    <row r="38" spans="1:14">
      <c r="A38" s="121">
        <v>119</v>
      </c>
      <c r="B38" s="495" t="s">
        <v>547</v>
      </c>
      <c r="C38" s="496"/>
      <c r="D38" s="496"/>
      <c r="E38" s="496"/>
      <c r="F38" s="496"/>
      <c r="G38" s="496"/>
      <c r="H38" s="496"/>
      <c r="I38" s="496"/>
      <c r="J38" s="496"/>
      <c r="K38" s="496"/>
      <c r="L38" s="496"/>
      <c r="M38" s="496"/>
      <c r="N38" s="497"/>
    </row>
    <row r="39" spans="1:14">
      <c r="A39" s="121">
        <v>120</v>
      </c>
      <c r="B39" s="495" t="s">
        <v>548</v>
      </c>
      <c r="C39" s="496"/>
      <c r="D39" s="496"/>
      <c r="E39" s="496"/>
      <c r="F39" s="496"/>
      <c r="G39" s="496"/>
      <c r="H39" s="496"/>
      <c r="I39" s="496"/>
      <c r="J39" s="496"/>
      <c r="K39" s="496"/>
      <c r="L39" s="496"/>
      <c r="M39" s="496"/>
      <c r="N39" s="497"/>
    </row>
    <row r="40" spans="1:14">
      <c r="A40" s="121">
        <v>122</v>
      </c>
      <c r="B40" s="495" t="s">
        <v>549</v>
      </c>
      <c r="C40" s="496"/>
      <c r="D40" s="496"/>
      <c r="E40" s="496"/>
      <c r="F40" s="496"/>
      <c r="G40" s="496"/>
      <c r="H40" s="496"/>
      <c r="I40" s="496"/>
      <c r="J40" s="496"/>
      <c r="K40" s="496"/>
      <c r="L40" s="496"/>
      <c r="M40" s="496"/>
      <c r="N40" s="497"/>
    </row>
    <row r="41" spans="1:14">
      <c r="A41" s="121">
        <v>123</v>
      </c>
      <c r="B41" s="495" t="s">
        <v>550</v>
      </c>
      <c r="C41" s="496"/>
      <c r="D41" s="496"/>
      <c r="E41" s="496"/>
      <c r="F41" s="496"/>
      <c r="G41" s="496"/>
      <c r="H41" s="496"/>
      <c r="I41" s="496"/>
      <c r="J41" s="496"/>
      <c r="K41" s="496"/>
      <c r="L41" s="496"/>
      <c r="M41" s="496"/>
      <c r="N41" s="497"/>
    </row>
    <row r="42" spans="1:14">
      <c r="A42" s="121">
        <v>126</v>
      </c>
      <c r="B42" s="495" t="s">
        <v>551</v>
      </c>
      <c r="C42" s="496"/>
      <c r="D42" s="496"/>
      <c r="E42" s="496"/>
      <c r="F42" s="496"/>
      <c r="G42" s="496"/>
      <c r="H42" s="496"/>
      <c r="I42" s="496"/>
      <c r="J42" s="496"/>
      <c r="K42" s="496"/>
      <c r="L42" s="496"/>
      <c r="M42" s="496"/>
      <c r="N42" s="497"/>
    </row>
    <row r="43" spans="1:14">
      <c r="A43" s="121">
        <v>127</v>
      </c>
      <c r="B43" s="495" t="s">
        <v>552</v>
      </c>
      <c r="C43" s="496"/>
      <c r="D43" s="496"/>
      <c r="E43" s="496"/>
      <c r="F43" s="496"/>
      <c r="G43" s="496"/>
      <c r="H43" s="496"/>
      <c r="I43" s="496"/>
      <c r="J43" s="496"/>
      <c r="K43" s="496"/>
      <c r="L43" s="496"/>
      <c r="M43" s="496"/>
      <c r="N43" s="497"/>
    </row>
    <row r="44" spans="1:14">
      <c r="A44" s="121">
        <v>128</v>
      </c>
      <c r="B44" s="495" t="s">
        <v>553</v>
      </c>
      <c r="C44" s="496"/>
      <c r="D44" s="496"/>
      <c r="E44" s="496"/>
      <c r="F44" s="496"/>
      <c r="G44" s="496"/>
      <c r="H44" s="496"/>
      <c r="I44" s="496"/>
      <c r="J44" s="496"/>
      <c r="K44" s="496"/>
      <c r="L44" s="496"/>
      <c r="M44" s="496"/>
      <c r="N44" s="497"/>
    </row>
    <row r="45" spans="1:14">
      <c r="A45" s="121">
        <v>129</v>
      </c>
      <c r="B45" s="495" t="s">
        <v>554</v>
      </c>
      <c r="C45" s="496"/>
      <c r="D45" s="496"/>
      <c r="E45" s="496"/>
      <c r="F45" s="496"/>
      <c r="G45" s="496"/>
      <c r="H45" s="496"/>
      <c r="I45" s="496"/>
      <c r="J45" s="496"/>
      <c r="K45" s="496"/>
      <c r="L45" s="496"/>
      <c r="M45" s="496"/>
      <c r="N45" s="497"/>
    </row>
    <row r="46" spans="1:14">
      <c r="A46" s="121">
        <v>131</v>
      </c>
      <c r="B46" s="495" t="s">
        <v>555</v>
      </c>
      <c r="C46" s="496"/>
      <c r="D46" s="496"/>
      <c r="E46" s="496"/>
      <c r="F46" s="496"/>
      <c r="G46" s="496"/>
      <c r="H46" s="496"/>
      <c r="I46" s="496"/>
      <c r="J46" s="496"/>
      <c r="K46" s="496"/>
      <c r="L46" s="496"/>
      <c r="M46" s="496"/>
      <c r="N46" s="497"/>
    </row>
    <row r="47" spans="1:14">
      <c r="A47" s="121">
        <v>133</v>
      </c>
      <c r="B47" s="495" t="s">
        <v>556</v>
      </c>
      <c r="C47" s="496"/>
      <c r="D47" s="496"/>
      <c r="E47" s="496"/>
      <c r="F47" s="496"/>
      <c r="G47" s="496"/>
      <c r="H47" s="496"/>
      <c r="I47" s="496"/>
      <c r="J47" s="496"/>
      <c r="K47" s="496"/>
      <c r="L47" s="496"/>
      <c r="M47" s="496"/>
      <c r="N47" s="497"/>
    </row>
    <row r="48" spans="1:14">
      <c r="A48" s="121">
        <v>134</v>
      </c>
      <c r="B48" s="495" t="s">
        <v>520</v>
      </c>
      <c r="C48" s="496"/>
      <c r="D48" s="496"/>
      <c r="E48" s="496"/>
      <c r="F48" s="496"/>
      <c r="G48" s="496"/>
      <c r="H48" s="496"/>
      <c r="I48" s="496"/>
      <c r="J48" s="496"/>
      <c r="K48" s="496"/>
      <c r="L48" s="496"/>
      <c r="M48" s="496"/>
      <c r="N48" s="497"/>
    </row>
    <row r="49" spans="1:14">
      <c r="A49" s="121">
        <v>135</v>
      </c>
      <c r="B49" s="495" t="s">
        <v>557</v>
      </c>
      <c r="C49" s="496"/>
      <c r="D49" s="496"/>
      <c r="E49" s="496"/>
      <c r="F49" s="496"/>
      <c r="G49" s="496"/>
      <c r="H49" s="496"/>
      <c r="I49" s="496"/>
      <c r="J49" s="496"/>
      <c r="K49" s="496"/>
      <c r="L49" s="496"/>
      <c r="M49" s="496"/>
      <c r="N49" s="497"/>
    </row>
    <row r="50" spans="1:14">
      <c r="A50" s="121">
        <v>136</v>
      </c>
      <c r="B50" s="495" t="s">
        <v>558</v>
      </c>
      <c r="C50" s="496"/>
      <c r="D50" s="496"/>
      <c r="E50" s="496"/>
      <c r="F50" s="496"/>
      <c r="G50" s="496"/>
      <c r="H50" s="496"/>
      <c r="I50" s="496"/>
      <c r="J50" s="496"/>
      <c r="K50" s="496"/>
      <c r="L50" s="496"/>
      <c r="M50" s="496"/>
      <c r="N50" s="497"/>
    </row>
    <row r="51" spans="1:14">
      <c r="A51" s="121">
        <v>137</v>
      </c>
      <c r="B51" s="495" t="s">
        <v>559</v>
      </c>
      <c r="C51" s="496"/>
      <c r="D51" s="496"/>
      <c r="E51" s="496"/>
      <c r="F51" s="496"/>
      <c r="G51" s="496"/>
      <c r="H51" s="496"/>
      <c r="I51" s="496"/>
      <c r="J51" s="496"/>
      <c r="K51" s="496"/>
      <c r="L51" s="496"/>
      <c r="M51" s="496"/>
      <c r="N51" s="497"/>
    </row>
    <row r="52" spans="1:14">
      <c r="A52" s="121">
        <v>139</v>
      </c>
      <c r="B52" s="495" t="s">
        <v>560</v>
      </c>
      <c r="C52" s="496"/>
      <c r="D52" s="496"/>
      <c r="E52" s="496"/>
      <c r="F52" s="496"/>
      <c r="G52" s="496"/>
      <c r="H52" s="496"/>
      <c r="I52" s="496"/>
      <c r="J52" s="496"/>
      <c r="K52" s="496"/>
      <c r="L52" s="496"/>
      <c r="M52" s="496"/>
      <c r="N52" s="497"/>
    </row>
    <row r="53" spans="1:14">
      <c r="A53" s="121">
        <v>140</v>
      </c>
      <c r="B53" s="495" t="s">
        <v>561</v>
      </c>
      <c r="C53" s="496"/>
      <c r="D53" s="496"/>
      <c r="E53" s="496"/>
      <c r="F53" s="496"/>
      <c r="G53" s="496"/>
      <c r="H53" s="496"/>
      <c r="I53" s="496"/>
      <c r="J53" s="496"/>
      <c r="K53" s="496"/>
      <c r="L53" s="496"/>
      <c r="M53" s="496"/>
      <c r="N53" s="497"/>
    </row>
    <row r="54" spans="1:14">
      <c r="A54" s="121">
        <v>141</v>
      </c>
      <c r="B54" s="495" t="s">
        <v>562</v>
      </c>
      <c r="C54" s="496"/>
      <c r="D54" s="496"/>
      <c r="E54" s="496"/>
      <c r="F54" s="496"/>
      <c r="G54" s="496"/>
      <c r="H54" s="496"/>
      <c r="I54" s="496"/>
      <c r="J54" s="496"/>
      <c r="K54" s="496"/>
      <c r="L54" s="496"/>
      <c r="M54" s="496"/>
      <c r="N54" s="497"/>
    </row>
    <row r="55" spans="1:14">
      <c r="A55" s="121">
        <v>142</v>
      </c>
      <c r="B55" s="495" t="s">
        <v>563</v>
      </c>
      <c r="C55" s="496"/>
      <c r="D55" s="496"/>
      <c r="E55" s="496"/>
      <c r="F55" s="496"/>
      <c r="G55" s="496"/>
      <c r="H55" s="496"/>
      <c r="I55" s="496"/>
      <c r="J55" s="496"/>
      <c r="K55" s="496"/>
      <c r="L55" s="496"/>
      <c r="M55" s="496"/>
      <c r="N55" s="497"/>
    </row>
    <row r="56" spans="1:14">
      <c r="A56" s="121">
        <v>143</v>
      </c>
      <c r="B56" s="495" t="s">
        <v>564</v>
      </c>
      <c r="C56" s="496"/>
      <c r="D56" s="496"/>
      <c r="E56" s="496"/>
      <c r="F56" s="496"/>
      <c r="G56" s="496"/>
      <c r="H56" s="496"/>
      <c r="I56" s="496"/>
      <c r="J56" s="496"/>
      <c r="K56" s="496"/>
      <c r="L56" s="496"/>
      <c r="M56" s="496"/>
      <c r="N56" s="497"/>
    </row>
    <row r="57" spans="1:14">
      <c r="A57" s="121">
        <v>144</v>
      </c>
      <c r="B57" s="495" t="s">
        <v>565</v>
      </c>
      <c r="C57" s="496"/>
      <c r="D57" s="496"/>
      <c r="E57" s="496"/>
      <c r="F57" s="496"/>
      <c r="G57" s="496"/>
      <c r="H57" s="496"/>
      <c r="I57" s="496"/>
      <c r="J57" s="496"/>
      <c r="K57" s="496"/>
      <c r="L57" s="496"/>
      <c r="M57" s="496"/>
      <c r="N57" s="497"/>
    </row>
    <row r="58" spans="1:14">
      <c r="A58" s="121">
        <v>145</v>
      </c>
      <c r="B58" s="495" t="s">
        <v>566</v>
      </c>
      <c r="C58" s="496"/>
      <c r="D58" s="496"/>
      <c r="E58" s="496"/>
      <c r="F58" s="496"/>
      <c r="G58" s="496"/>
      <c r="H58" s="496"/>
      <c r="I58" s="496"/>
      <c r="J58" s="496"/>
      <c r="K58" s="496"/>
      <c r="L58" s="496"/>
      <c r="M58" s="496"/>
      <c r="N58" s="497"/>
    </row>
    <row r="59" spans="1:14">
      <c r="A59" s="121">
        <v>146</v>
      </c>
      <c r="B59" s="495" t="s">
        <v>567</v>
      </c>
      <c r="C59" s="496"/>
      <c r="D59" s="496"/>
      <c r="E59" s="496"/>
      <c r="F59" s="496"/>
      <c r="G59" s="496"/>
      <c r="H59" s="496"/>
      <c r="I59" s="496"/>
      <c r="J59" s="496"/>
      <c r="K59" s="496"/>
      <c r="L59" s="496"/>
      <c r="M59" s="496"/>
      <c r="N59" s="497"/>
    </row>
    <row r="60" spans="1:14">
      <c r="A60" s="121">
        <v>147</v>
      </c>
      <c r="B60" s="495" t="s">
        <v>568</v>
      </c>
      <c r="C60" s="496"/>
      <c r="D60" s="496"/>
      <c r="E60" s="496"/>
      <c r="F60" s="496"/>
      <c r="G60" s="496"/>
      <c r="H60" s="496"/>
      <c r="I60" s="496"/>
      <c r="J60" s="496"/>
      <c r="K60" s="496"/>
      <c r="L60" s="496"/>
      <c r="M60" s="496"/>
      <c r="N60" s="497"/>
    </row>
    <row r="61" spans="1:14">
      <c r="A61" s="121">
        <v>148</v>
      </c>
      <c r="B61" s="495" t="s">
        <v>569</v>
      </c>
      <c r="C61" s="496"/>
      <c r="D61" s="496"/>
      <c r="E61" s="496"/>
      <c r="F61" s="496"/>
      <c r="G61" s="496"/>
      <c r="H61" s="496"/>
      <c r="I61" s="496"/>
      <c r="J61" s="496"/>
      <c r="K61" s="496"/>
      <c r="L61" s="496"/>
      <c r="M61" s="496"/>
      <c r="N61" s="497"/>
    </row>
    <row r="62" spans="1:14">
      <c r="A62" s="121">
        <v>149</v>
      </c>
      <c r="B62" s="495" t="s">
        <v>570</v>
      </c>
      <c r="C62" s="496"/>
      <c r="D62" s="496"/>
      <c r="E62" s="496"/>
      <c r="F62" s="496"/>
      <c r="G62" s="496"/>
      <c r="H62" s="496"/>
      <c r="I62" s="496"/>
      <c r="J62" s="496"/>
      <c r="K62" s="496"/>
      <c r="L62" s="496"/>
      <c r="M62" s="496"/>
      <c r="N62" s="497"/>
    </row>
    <row r="63" spans="1:14">
      <c r="A63" s="121">
        <v>150</v>
      </c>
      <c r="B63" s="495" t="s">
        <v>571</v>
      </c>
      <c r="C63" s="496"/>
      <c r="D63" s="496"/>
      <c r="E63" s="496"/>
      <c r="F63" s="496"/>
      <c r="G63" s="496"/>
      <c r="H63" s="496"/>
      <c r="I63" s="496"/>
      <c r="J63" s="496"/>
      <c r="K63" s="496"/>
      <c r="L63" s="496"/>
      <c r="M63" s="496"/>
      <c r="N63" s="497"/>
    </row>
    <row r="64" spans="1:14">
      <c r="A64" s="121">
        <v>151</v>
      </c>
      <c r="B64" s="495" t="s">
        <v>572</v>
      </c>
      <c r="C64" s="496"/>
      <c r="D64" s="496"/>
      <c r="E64" s="496"/>
      <c r="F64" s="496"/>
      <c r="G64" s="496"/>
      <c r="H64" s="496"/>
      <c r="I64" s="496"/>
      <c r="J64" s="496"/>
      <c r="K64" s="496"/>
      <c r="L64" s="496"/>
      <c r="M64" s="496"/>
      <c r="N64" s="497"/>
    </row>
    <row r="65" spans="1:14">
      <c r="A65" s="121">
        <v>152</v>
      </c>
      <c r="B65" s="495" t="s">
        <v>573</v>
      </c>
      <c r="C65" s="496"/>
      <c r="D65" s="496"/>
      <c r="E65" s="496"/>
      <c r="F65" s="496"/>
      <c r="G65" s="496"/>
      <c r="H65" s="496"/>
      <c r="I65" s="496"/>
      <c r="J65" s="496"/>
      <c r="K65" s="496"/>
      <c r="L65" s="496"/>
      <c r="M65" s="496"/>
      <c r="N65" s="497"/>
    </row>
    <row r="66" spans="1:14">
      <c r="A66" s="121">
        <v>153</v>
      </c>
      <c r="B66" s="495" t="s">
        <v>574</v>
      </c>
      <c r="C66" s="496"/>
      <c r="D66" s="496"/>
      <c r="E66" s="496"/>
      <c r="F66" s="496"/>
      <c r="G66" s="496"/>
      <c r="H66" s="496"/>
      <c r="I66" s="496"/>
      <c r="J66" s="496"/>
      <c r="K66" s="496"/>
      <c r="L66" s="496"/>
      <c r="M66" s="496"/>
      <c r="N66" s="497"/>
    </row>
    <row r="67" spans="1:14">
      <c r="A67" s="121">
        <v>154</v>
      </c>
      <c r="B67" s="495" t="s">
        <v>575</v>
      </c>
      <c r="C67" s="496"/>
      <c r="D67" s="496"/>
      <c r="E67" s="496"/>
      <c r="F67" s="496"/>
      <c r="G67" s="496"/>
      <c r="H67" s="496"/>
      <c r="I67" s="496"/>
      <c r="J67" s="496"/>
      <c r="K67" s="496"/>
      <c r="L67" s="496"/>
      <c r="M67" s="496"/>
      <c r="N67" s="497"/>
    </row>
    <row r="68" spans="1:14">
      <c r="A68" s="121">
        <v>155</v>
      </c>
      <c r="B68" s="495" t="s">
        <v>576</v>
      </c>
      <c r="C68" s="496"/>
      <c r="D68" s="496"/>
      <c r="E68" s="496"/>
      <c r="F68" s="496"/>
      <c r="G68" s="496"/>
      <c r="H68" s="496"/>
      <c r="I68" s="496"/>
      <c r="J68" s="496"/>
      <c r="K68" s="496"/>
      <c r="L68" s="496"/>
      <c r="M68" s="496"/>
      <c r="N68" s="497"/>
    </row>
    <row r="69" spans="1:14">
      <c r="A69" s="121">
        <v>156</v>
      </c>
      <c r="B69" s="495" t="s">
        <v>577</v>
      </c>
      <c r="C69" s="496"/>
      <c r="D69" s="496"/>
      <c r="E69" s="496"/>
      <c r="F69" s="496"/>
      <c r="G69" s="496"/>
      <c r="H69" s="496"/>
      <c r="I69" s="496"/>
      <c r="J69" s="496"/>
      <c r="K69" s="496"/>
      <c r="L69" s="496"/>
      <c r="M69" s="496"/>
      <c r="N69" s="497"/>
    </row>
    <row r="70" spans="1:14">
      <c r="A70" s="121">
        <v>157</v>
      </c>
      <c r="B70" s="495" t="s">
        <v>578</v>
      </c>
      <c r="C70" s="496"/>
      <c r="D70" s="496"/>
      <c r="E70" s="496"/>
      <c r="F70" s="496"/>
      <c r="G70" s="496"/>
      <c r="H70" s="496"/>
      <c r="I70" s="496"/>
      <c r="J70" s="496"/>
      <c r="K70" s="496"/>
      <c r="L70" s="496"/>
      <c r="M70" s="496"/>
      <c r="N70" s="497"/>
    </row>
    <row r="71" spans="1:14">
      <c r="A71" s="121">
        <v>158</v>
      </c>
      <c r="B71" s="495" t="s">
        <v>579</v>
      </c>
      <c r="C71" s="496"/>
      <c r="D71" s="496"/>
      <c r="E71" s="496"/>
      <c r="F71" s="496"/>
      <c r="G71" s="496"/>
      <c r="H71" s="496"/>
      <c r="I71" s="496"/>
      <c r="J71" s="496"/>
      <c r="K71" s="496"/>
      <c r="L71" s="496"/>
      <c r="M71" s="496"/>
      <c r="N71" s="497"/>
    </row>
    <row r="72" spans="1:14">
      <c r="A72" s="121">
        <v>159</v>
      </c>
      <c r="B72" s="495" t="s">
        <v>580</v>
      </c>
      <c r="C72" s="496"/>
      <c r="D72" s="496"/>
      <c r="E72" s="496"/>
      <c r="F72" s="496"/>
      <c r="G72" s="496"/>
      <c r="H72" s="496"/>
      <c r="I72" s="496"/>
      <c r="J72" s="496"/>
      <c r="K72" s="496"/>
      <c r="L72" s="496"/>
      <c r="M72" s="496"/>
      <c r="N72" s="497"/>
    </row>
    <row r="73" spans="1:14">
      <c r="A73" s="121">
        <v>160</v>
      </c>
      <c r="B73" s="495" t="s">
        <v>581</v>
      </c>
      <c r="C73" s="496"/>
      <c r="D73" s="496"/>
      <c r="E73" s="496"/>
      <c r="F73" s="496"/>
      <c r="G73" s="496"/>
      <c r="H73" s="496"/>
      <c r="I73" s="496"/>
      <c r="J73" s="496"/>
      <c r="K73" s="496"/>
      <c r="L73" s="496"/>
      <c r="M73" s="496"/>
      <c r="N73" s="497"/>
    </row>
  </sheetData>
  <mergeCells count="72">
    <mergeCell ref="B13:N13"/>
    <mergeCell ref="A1:A3"/>
    <mergeCell ref="B1:N3"/>
    <mergeCell ref="B4:N4"/>
    <mergeCell ref="B5:N5"/>
    <mergeCell ref="B6:N6"/>
    <mergeCell ref="B7:N7"/>
    <mergeCell ref="B8:N8"/>
    <mergeCell ref="B9:N9"/>
    <mergeCell ref="B10:N10"/>
    <mergeCell ref="B11:N11"/>
    <mergeCell ref="B12:N12"/>
    <mergeCell ref="B25:N25"/>
    <mergeCell ref="B14:N14"/>
    <mergeCell ref="B15:N15"/>
    <mergeCell ref="B16:N16"/>
    <mergeCell ref="B17:N17"/>
    <mergeCell ref="B18:N18"/>
    <mergeCell ref="B19:N19"/>
    <mergeCell ref="B20:N20"/>
    <mergeCell ref="B21:N21"/>
    <mergeCell ref="B22:N22"/>
    <mergeCell ref="B23:N23"/>
    <mergeCell ref="B24:N24"/>
    <mergeCell ref="B37:N37"/>
    <mergeCell ref="B26:N26"/>
    <mergeCell ref="B27:N27"/>
    <mergeCell ref="B28:N28"/>
    <mergeCell ref="B29:N29"/>
    <mergeCell ref="B30:N30"/>
    <mergeCell ref="B31:N31"/>
    <mergeCell ref="B32:N32"/>
    <mergeCell ref="B33:N33"/>
    <mergeCell ref="B34:N34"/>
    <mergeCell ref="B35:N35"/>
    <mergeCell ref="B36:N36"/>
    <mergeCell ref="B49:N49"/>
    <mergeCell ref="B38:N38"/>
    <mergeCell ref="B39:N39"/>
    <mergeCell ref="B40:N40"/>
    <mergeCell ref="B41:N41"/>
    <mergeCell ref="B42:N42"/>
    <mergeCell ref="B43:N43"/>
    <mergeCell ref="B44:N44"/>
    <mergeCell ref="B45:N45"/>
    <mergeCell ref="B46:N46"/>
    <mergeCell ref="B47:N47"/>
    <mergeCell ref="B48:N48"/>
    <mergeCell ref="B61:N61"/>
    <mergeCell ref="B50:N50"/>
    <mergeCell ref="B51:N51"/>
    <mergeCell ref="B52:N52"/>
    <mergeCell ref="B53:N53"/>
    <mergeCell ref="B54:N54"/>
    <mergeCell ref="B55:N55"/>
    <mergeCell ref="B56:N56"/>
    <mergeCell ref="B57:N57"/>
    <mergeCell ref="B58:N58"/>
    <mergeCell ref="B59:N59"/>
    <mergeCell ref="B60:N60"/>
    <mergeCell ref="B73:N73"/>
    <mergeCell ref="B62:N62"/>
    <mergeCell ref="B63:N63"/>
    <mergeCell ref="B64:N64"/>
    <mergeCell ref="B65:N65"/>
    <mergeCell ref="B66:N66"/>
    <mergeCell ref="B67:N67"/>
    <mergeCell ref="B68:N68"/>
    <mergeCell ref="B69:N69"/>
    <mergeCell ref="B70:N70"/>
    <mergeCell ref="B71:N71"/>
    <mergeCell ref="B72:N7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sqref="A1:N27"/>
    </sheetView>
  </sheetViews>
  <sheetFormatPr defaultRowHeight="15"/>
  <sheetData>
    <row r="1" spans="1:14" ht="31.5">
      <c r="B1" s="141" t="s">
        <v>131</v>
      </c>
      <c r="C1" s="457" t="s">
        <v>582</v>
      </c>
      <c r="D1" s="458"/>
      <c r="E1" s="142"/>
      <c r="I1" s="41"/>
    </row>
    <row r="2" spans="1:14" ht="15.75">
      <c r="B2" s="141" t="s">
        <v>78</v>
      </c>
      <c r="C2" s="459">
        <v>43084</v>
      </c>
      <c r="D2" s="460"/>
      <c r="E2" s="143"/>
      <c r="G2" s="41"/>
      <c r="H2" s="144"/>
      <c r="I2" s="41"/>
      <c r="J2" s="41"/>
      <c r="M2" s="186"/>
    </row>
    <row r="3" spans="1:14" ht="31.5">
      <c r="B3" s="141" t="s">
        <v>80</v>
      </c>
      <c r="C3" s="461" t="s">
        <v>583</v>
      </c>
      <c r="D3" s="462"/>
      <c r="E3" s="146"/>
    </row>
    <row r="4" spans="1:14" ht="15.75">
      <c r="B4" s="147"/>
      <c r="C4" s="148"/>
      <c r="D4" s="149"/>
      <c r="E4" s="149"/>
    </row>
    <row r="5" spans="1:14">
      <c r="A5" s="453" t="s">
        <v>134</v>
      </c>
      <c r="B5" s="514" t="s">
        <v>515</v>
      </c>
      <c r="C5" s="515"/>
      <c r="D5" s="515"/>
      <c r="E5" s="515"/>
      <c r="F5" s="515"/>
      <c r="G5" s="515"/>
      <c r="H5" s="515"/>
      <c r="I5" s="515"/>
      <c r="J5" s="515"/>
      <c r="K5" s="515"/>
      <c r="L5" s="515"/>
      <c r="M5" s="515"/>
      <c r="N5" s="516"/>
    </row>
    <row r="6" spans="1:14">
      <c r="A6" s="454"/>
      <c r="B6" s="517"/>
      <c r="C6" s="518"/>
      <c r="D6" s="518"/>
      <c r="E6" s="518"/>
      <c r="F6" s="518"/>
      <c r="G6" s="518"/>
      <c r="H6" s="518"/>
      <c r="I6" s="518"/>
      <c r="J6" s="518"/>
      <c r="K6" s="518"/>
      <c r="L6" s="518"/>
      <c r="M6" s="518"/>
      <c r="N6" s="519"/>
    </row>
    <row r="7" spans="1:14">
      <c r="A7" s="455"/>
      <c r="B7" s="520"/>
      <c r="C7" s="521"/>
      <c r="D7" s="521"/>
      <c r="E7" s="521"/>
      <c r="F7" s="521"/>
      <c r="G7" s="521"/>
      <c r="H7" s="521"/>
      <c r="I7" s="521"/>
      <c r="J7" s="521"/>
      <c r="K7" s="521"/>
      <c r="L7" s="521"/>
      <c r="M7" s="521"/>
      <c r="N7" s="522"/>
    </row>
    <row r="8" spans="1:14">
      <c r="A8" s="150">
        <v>1</v>
      </c>
      <c r="B8" s="457" t="s">
        <v>635</v>
      </c>
      <c r="C8" s="508"/>
      <c r="D8" s="508"/>
      <c r="E8" s="508"/>
      <c r="F8" s="508"/>
      <c r="G8" s="508"/>
      <c r="H8" s="508"/>
      <c r="I8" s="508"/>
      <c r="J8" s="508"/>
      <c r="K8" s="508"/>
      <c r="L8" s="508"/>
      <c r="M8" s="508"/>
      <c r="N8" s="458"/>
    </row>
    <row r="9" spans="1:14">
      <c r="A9" s="156">
        <v>2</v>
      </c>
      <c r="B9" s="509" t="s">
        <v>635</v>
      </c>
      <c r="C9" s="512"/>
      <c r="D9" s="512"/>
      <c r="E9" s="512"/>
      <c r="F9" s="512"/>
      <c r="G9" s="512"/>
      <c r="H9" s="512"/>
      <c r="I9" s="512"/>
      <c r="J9" s="512"/>
      <c r="K9" s="512"/>
      <c r="L9" s="512"/>
      <c r="M9" s="512"/>
      <c r="N9" s="513"/>
    </row>
    <row r="10" spans="1:14">
      <c r="A10" s="156">
        <v>3</v>
      </c>
      <c r="B10" s="509" t="s">
        <v>635</v>
      </c>
      <c r="C10" s="512"/>
      <c r="D10" s="512"/>
      <c r="E10" s="512"/>
      <c r="F10" s="512"/>
      <c r="G10" s="512"/>
      <c r="H10" s="512"/>
      <c r="I10" s="512"/>
      <c r="J10" s="512"/>
      <c r="K10" s="512"/>
      <c r="L10" s="512"/>
      <c r="M10" s="512"/>
      <c r="N10" s="513"/>
    </row>
    <row r="11" spans="1:14">
      <c r="A11" s="156">
        <v>4</v>
      </c>
      <c r="B11" s="509" t="s">
        <v>635</v>
      </c>
      <c r="C11" s="512"/>
      <c r="D11" s="512"/>
      <c r="E11" s="512"/>
      <c r="F11" s="512"/>
      <c r="G11" s="512"/>
      <c r="H11" s="512"/>
      <c r="I11" s="512"/>
      <c r="J11" s="512"/>
      <c r="K11" s="512"/>
      <c r="L11" s="512"/>
      <c r="M11" s="512"/>
      <c r="N11" s="513"/>
    </row>
    <row r="12" spans="1:14">
      <c r="A12" s="156">
        <v>5</v>
      </c>
      <c r="B12" s="509" t="s">
        <v>636</v>
      </c>
      <c r="C12" s="512"/>
      <c r="D12" s="512"/>
      <c r="E12" s="512"/>
      <c r="F12" s="512"/>
      <c r="G12" s="512"/>
      <c r="H12" s="512"/>
      <c r="I12" s="512"/>
      <c r="J12" s="512"/>
      <c r="K12" s="512"/>
      <c r="L12" s="512"/>
      <c r="M12" s="512"/>
      <c r="N12" s="513"/>
    </row>
    <row r="13" spans="1:14">
      <c r="A13" s="156">
        <v>6</v>
      </c>
      <c r="B13" s="509" t="s">
        <v>637</v>
      </c>
      <c r="C13" s="512"/>
      <c r="D13" s="512"/>
      <c r="E13" s="512"/>
      <c r="F13" s="512"/>
      <c r="G13" s="512"/>
      <c r="H13" s="512"/>
      <c r="I13" s="512"/>
      <c r="J13" s="512"/>
      <c r="K13" s="512"/>
      <c r="L13" s="512"/>
      <c r="M13" s="512"/>
      <c r="N13" s="513"/>
    </row>
    <row r="14" spans="1:14">
      <c r="A14" s="156">
        <v>7</v>
      </c>
      <c r="B14" s="509" t="s">
        <v>636</v>
      </c>
      <c r="C14" s="512"/>
      <c r="D14" s="512"/>
      <c r="E14" s="512"/>
      <c r="F14" s="512"/>
      <c r="G14" s="512"/>
      <c r="H14" s="512"/>
      <c r="I14" s="512"/>
      <c r="J14" s="512"/>
      <c r="K14" s="512"/>
      <c r="L14" s="512"/>
      <c r="M14" s="512"/>
      <c r="N14" s="513"/>
    </row>
    <row r="15" spans="1:14">
      <c r="A15" s="156">
        <v>8</v>
      </c>
      <c r="B15" s="509" t="s">
        <v>636</v>
      </c>
      <c r="C15" s="512"/>
      <c r="D15" s="512"/>
      <c r="E15" s="512"/>
      <c r="F15" s="512"/>
      <c r="G15" s="512"/>
      <c r="H15" s="512"/>
      <c r="I15" s="512"/>
      <c r="J15" s="512"/>
      <c r="K15" s="512"/>
      <c r="L15" s="512"/>
      <c r="M15" s="512"/>
      <c r="N15" s="513"/>
    </row>
    <row r="16" spans="1:14">
      <c r="A16" s="156">
        <v>9</v>
      </c>
      <c r="B16" s="509" t="s">
        <v>638</v>
      </c>
      <c r="C16" s="512"/>
      <c r="D16" s="512"/>
      <c r="E16" s="512"/>
      <c r="F16" s="512"/>
      <c r="G16" s="512"/>
      <c r="H16" s="512"/>
      <c r="I16" s="512"/>
      <c r="J16" s="512"/>
      <c r="K16" s="512"/>
      <c r="L16" s="512"/>
      <c r="M16" s="512"/>
      <c r="N16" s="513"/>
    </row>
    <row r="17" spans="1:14">
      <c r="A17" s="156">
        <v>10</v>
      </c>
      <c r="B17" s="509" t="s">
        <v>635</v>
      </c>
      <c r="C17" s="512"/>
      <c r="D17" s="512"/>
      <c r="E17" s="512"/>
      <c r="F17" s="512"/>
      <c r="G17" s="512"/>
      <c r="H17" s="512"/>
      <c r="I17" s="512"/>
      <c r="J17" s="512"/>
      <c r="K17" s="512"/>
      <c r="L17" s="512"/>
      <c r="M17" s="512"/>
      <c r="N17" s="513"/>
    </row>
    <row r="18" spans="1:14">
      <c r="A18" s="156">
        <v>11</v>
      </c>
      <c r="B18" s="507" t="s">
        <v>639</v>
      </c>
      <c r="C18" s="508"/>
      <c r="D18" s="508"/>
      <c r="E18" s="508"/>
      <c r="F18" s="508"/>
      <c r="G18" s="508"/>
      <c r="H18" s="508"/>
      <c r="I18" s="508"/>
      <c r="J18" s="508"/>
      <c r="K18" s="508"/>
      <c r="L18" s="508"/>
      <c r="M18" s="508"/>
      <c r="N18" s="458"/>
    </row>
    <row r="19" spans="1:14">
      <c r="A19" s="187">
        <v>12</v>
      </c>
      <c r="B19" s="457" t="s">
        <v>640</v>
      </c>
      <c r="C19" s="508"/>
      <c r="D19" s="508"/>
      <c r="E19" s="508"/>
      <c r="F19" s="508"/>
      <c r="G19" s="508"/>
      <c r="H19" s="508"/>
      <c r="I19" s="508"/>
      <c r="J19" s="508"/>
      <c r="K19" s="508"/>
      <c r="L19" s="508"/>
      <c r="M19" s="508"/>
      <c r="N19" s="458"/>
    </row>
    <row r="20" spans="1:14">
      <c r="A20" s="156">
        <v>13</v>
      </c>
      <c r="B20" s="510" t="s">
        <v>641</v>
      </c>
      <c r="C20" s="511"/>
      <c r="D20" s="511"/>
      <c r="E20" s="511"/>
      <c r="F20" s="511"/>
      <c r="G20" s="511"/>
      <c r="H20" s="511"/>
      <c r="I20" s="511"/>
      <c r="J20" s="511"/>
      <c r="K20" s="511"/>
      <c r="L20" s="511"/>
      <c r="M20" s="511"/>
      <c r="N20" s="448"/>
    </row>
    <row r="21" spans="1:14">
      <c r="A21" s="156">
        <v>14</v>
      </c>
      <c r="B21" s="507" t="s">
        <v>642</v>
      </c>
      <c r="C21" s="508"/>
      <c r="D21" s="508"/>
      <c r="E21" s="508"/>
      <c r="F21" s="508"/>
      <c r="G21" s="508"/>
      <c r="H21" s="508"/>
      <c r="I21" s="508"/>
      <c r="J21" s="508"/>
      <c r="K21" s="508"/>
      <c r="L21" s="508"/>
      <c r="M21" s="508"/>
      <c r="N21" s="458"/>
    </row>
    <row r="22" spans="1:14">
      <c r="A22" s="156">
        <v>15</v>
      </c>
      <c r="B22" s="507" t="s">
        <v>642</v>
      </c>
      <c r="C22" s="508"/>
      <c r="D22" s="508"/>
      <c r="E22" s="508"/>
      <c r="F22" s="508"/>
      <c r="G22" s="508"/>
      <c r="H22" s="508"/>
      <c r="I22" s="508"/>
      <c r="J22" s="508"/>
      <c r="K22" s="508"/>
      <c r="L22" s="508"/>
      <c r="M22" s="508"/>
      <c r="N22" s="458"/>
    </row>
    <row r="23" spans="1:14">
      <c r="A23" s="187">
        <v>16</v>
      </c>
      <c r="B23" s="509" t="s">
        <v>643</v>
      </c>
      <c r="C23" s="508"/>
      <c r="D23" s="508"/>
      <c r="E23" s="508"/>
      <c r="F23" s="508"/>
      <c r="G23" s="508"/>
      <c r="H23" s="508"/>
      <c r="I23" s="508"/>
      <c r="J23" s="508"/>
      <c r="K23" s="508"/>
      <c r="L23" s="508"/>
      <c r="M23" s="508"/>
      <c r="N23" s="458"/>
    </row>
    <row r="24" spans="1:14">
      <c r="A24" s="156">
        <v>17</v>
      </c>
      <c r="B24" s="457" t="s">
        <v>644</v>
      </c>
      <c r="C24" s="508"/>
      <c r="D24" s="508"/>
      <c r="E24" s="508"/>
      <c r="F24" s="508"/>
      <c r="G24" s="508"/>
      <c r="H24" s="508"/>
      <c r="I24" s="508"/>
      <c r="J24" s="508"/>
      <c r="K24" s="508"/>
      <c r="L24" s="508"/>
      <c r="M24" s="508"/>
      <c r="N24" s="458"/>
    </row>
    <row r="25" spans="1:14">
      <c r="A25" s="188">
        <v>18</v>
      </c>
      <c r="B25" s="507" t="s">
        <v>645</v>
      </c>
      <c r="C25" s="508"/>
      <c r="D25" s="508"/>
      <c r="E25" s="508"/>
      <c r="F25" s="508"/>
      <c r="G25" s="508"/>
      <c r="H25" s="508"/>
      <c r="I25" s="508"/>
      <c r="J25" s="508"/>
      <c r="K25" s="508"/>
      <c r="L25" s="508"/>
      <c r="M25" s="508"/>
      <c r="N25" s="458"/>
    </row>
    <row r="26" spans="1:14">
      <c r="A26" s="188">
        <v>23</v>
      </c>
      <c r="B26" s="507" t="s">
        <v>646</v>
      </c>
      <c r="C26" s="508"/>
      <c r="D26" s="508"/>
      <c r="E26" s="508"/>
      <c r="F26" s="508"/>
      <c r="G26" s="508"/>
      <c r="H26" s="508"/>
      <c r="I26" s="508"/>
      <c r="J26" s="508"/>
      <c r="K26" s="508"/>
      <c r="L26" s="508"/>
      <c r="M26" s="508"/>
      <c r="N26" s="458"/>
    </row>
    <row r="27" spans="1:14">
      <c r="A27" s="188">
        <v>24</v>
      </c>
      <c r="B27" s="507" t="s">
        <v>647</v>
      </c>
      <c r="C27" s="508"/>
      <c r="D27" s="508"/>
      <c r="E27" s="508"/>
      <c r="F27" s="508"/>
      <c r="G27" s="508"/>
      <c r="H27" s="508"/>
      <c r="I27" s="508"/>
      <c r="J27" s="508"/>
      <c r="K27" s="508"/>
      <c r="L27" s="508"/>
      <c r="M27" s="508"/>
      <c r="N27" s="458"/>
    </row>
  </sheetData>
  <mergeCells count="25">
    <mergeCell ref="B8:N8"/>
    <mergeCell ref="C1:D1"/>
    <mergeCell ref="C2:D2"/>
    <mergeCell ref="C3:D3"/>
    <mergeCell ref="A5:A7"/>
    <mergeCell ref="B5:N7"/>
    <mergeCell ref="B20:N20"/>
    <mergeCell ref="B9:N9"/>
    <mergeCell ref="B10:N10"/>
    <mergeCell ref="B11:N11"/>
    <mergeCell ref="B12:N12"/>
    <mergeCell ref="B13:N13"/>
    <mergeCell ref="B14:N14"/>
    <mergeCell ref="B15:N15"/>
    <mergeCell ref="B16:N16"/>
    <mergeCell ref="B17:N17"/>
    <mergeCell ref="B18:N18"/>
    <mergeCell ref="B19:N19"/>
    <mergeCell ref="B27:N27"/>
    <mergeCell ref="B21:N21"/>
    <mergeCell ref="B22:N22"/>
    <mergeCell ref="B23:N23"/>
    <mergeCell ref="B24:N24"/>
    <mergeCell ref="B25:N25"/>
    <mergeCell ref="B26:N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Sheet1</vt:lpstr>
      <vt:lpstr>DPS</vt:lpstr>
      <vt:lpstr>TMD</vt:lpstr>
      <vt:lpstr>TPWD</vt:lpstr>
      <vt:lpstr>TDCJ</vt:lpstr>
      <vt:lpstr>TFC</vt:lpstr>
      <vt:lpstr>TxDOT</vt:lpstr>
      <vt:lpstr>TDCJ Supplemental</vt:lpstr>
      <vt:lpstr>TFC Supplemental</vt:lpstr>
      <vt:lpstr>TMD Supplemental</vt:lpstr>
      <vt:lpstr>DPS sup.</vt:lpstr>
    </vt:vector>
  </TitlesOfParts>
  <Company>Texas Legislative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Leggett</dc:creator>
  <cp:lastModifiedBy>Adam Leggett</cp:lastModifiedBy>
  <dcterms:created xsi:type="dcterms:W3CDTF">2017-12-12T17:08:02Z</dcterms:created>
  <dcterms:modified xsi:type="dcterms:W3CDTF">2017-12-19T20:59:41Z</dcterms:modified>
</cp:coreProperties>
</file>